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Fink.000\Desktop\"/>
    </mc:Choice>
  </mc:AlternateContent>
  <xr:revisionPtr revIDLastSave="0" documentId="8_{567071E7-E521-41F9-B3E0-5C8DB8C93A9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LHR-C" sheetId="1" r:id="rId1"/>
    <sheet name="Translation" sheetId="2" state="hidden" r:id="rId2"/>
    <sheet name="Selections" sheetId="3" state="hidden" r:id="rId3"/>
  </sheets>
  <definedNames>
    <definedName name="_xlnm.Print_Area" localSheetId="0">'LHR-C'!$A$1:$AA$68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3" l="1"/>
  <c r="K33" i="3"/>
  <c r="N29" i="3"/>
  <c r="K29" i="3"/>
  <c r="F23" i="3"/>
  <c r="H22" i="3"/>
  <c r="F22" i="3"/>
  <c r="N21" i="3"/>
  <c r="K21" i="3"/>
  <c r="H21" i="3"/>
  <c r="F21" i="3"/>
  <c r="F20" i="3"/>
  <c r="F19" i="3"/>
  <c r="F18" i="3"/>
  <c r="N17" i="3"/>
  <c r="K17" i="3"/>
  <c r="F17" i="3"/>
  <c r="N9" i="3"/>
  <c r="K9" i="3"/>
  <c r="N5" i="3"/>
  <c r="K5" i="3"/>
  <c r="F5" i="3"/>
  <c r="C2" i="2"/>
  <c r="C32" i="2" s="1"/>
  <c r="AA66" i="1" s="1"/>
  <c r="S58" i="1"/>
  <c r="S57" i="1"/>
  <c r="S56" i="1"/>
  <c r="S55" i="1"/>
  <c r="V54" i="1"/>
  <c r="S54" i="1"/>
  <c r="S53" i="1"/>
  <c r="X51" i="1"/>
  <c r="Z51" i="1" s="1"/>
  <c r="W51" i="1"/>
  <c r="Y51" i="1" s="1"/>
  <c r="U45" i="1"/>
  <c r="S45" i="1"/>
  <c r="U44" i="1"/>
  <c r="S44" i="1"/>
  <c r="U43" i="1"/>
  <c r="S43" i="1"/>
  <c r="U42" i="1"/>
  <c r="S42" i="1"/>
  <c r="U41" i="1"/>
  <c r="S41" i="1"/>
  <c r="U40" i="1"/>
  <c r="S40" i="1"/>
  <c r="U39" i="1"/>
  <c r="Z38" i="1"/>
  <c r="M34" i="1"/>
  <c r="L34" i="1"/>
  <c r="G34" i="1"/>
  <c r="N15" i="1"/>
  <c r="M14" i="1"/>
  <c r="H12" i="1"/>
  <c r="H11" i="1"/>
  <c r="Z8" i="1"/>
  <c r="Z6" i="1"/>
  <c r="S6" i="1"/>
  <c r="P33" i="1" s="1"/>
  <c r="Z4" i="1"/>
  <c r="S4" i="1"/>
  <c r="K3" i="1"/>
  <c r="S2" i="1"/>
  <c r="I13" i="1" s="1"/>
  <c r="C3" i="2" l="1"/>
  <c r="C3" i="3"/>
  <c r="C5" i="3"/>
  <c r="I3" i="3"/>
  <c r="C6" i="3"/>
  <c r="C7" i="2"/>
  <c r="Z37" i="1" s="1"/>
  <c r="C10" i="2"/>
  <c r="U25" i="1" s="1"/>
  <c r="C13" i="2"/>
  <c r="R2" i="1" s="1"/>
  <c r="C15" i="2"/>
  <c r="Y4" i="1" s="1"/>
  <c r="C18" i="2"/>
  <c r="U29" i="1" s="1"/>
  <c r="C21" i="2"/>
  <c r="Y8" i="1" s="1"/>
  <c r="C24" i="2"/>
  <c r="C28" i="2"/>
  <c r="C30" i="2"/>
  <c r="C33" i="2"/>
  <c r="U31" i="1" s="1"/>
  <c r="C34" i="2"/>
  <c r="C24" i="1" s="1"/>
  <c r="C35" i="2"/>
  <c r="C25" i="1" s="1"/>
  <c r="C36" i="2"/>
  <c r="U19" i="1" s="1"/>
  <c r="C37" i="2"/>
  <c r="I2" i="1" s="1"/>
  <c r="C38" i="2"/>
  <c r="C39" i="2"/>
  <c r="C17" i="3" s="1"/>
  <c r="C40" i="2"/>
  <c r="C18" i="3" s="1"/>
  <c r="C41" i="2"/>
  <c r="U23" i="1" s="1"/>
  <c r="C42" i="2"/>
  <c r="C43" i="2"/>
  <c r="C44" i="2"/>
  <c r="S49" i="1" s="1"/>
  <c r="C45" i="2"/>
  <c r="I8" i="1" s="1"/>
  <c r="C46" i="2"/>
  <c r="C22" i="3" s="1"/>
  <c r="C47" i="2"/>
  <c r="C23" i="3" s="1"/>
  <c r="C48" i="2"/>
  <c r="C49" i="2"/>
  <c r="C50" i="2"/>
  <c r="U32" i="1" s="1"/>
  <c r="C51" i="2"/>
  <c r="U35" i="1" s="1"/>
  <c r="C52" i="2"/>
  <c r="B53" i="1" s="1"/>
  <c r="C4" i="2"/>
  <c r="C5" i="2"/>
  <c r="C6" i="2"/>
  <c r="W37" i="1" s="1"/>
  <c r="C8" i="2"/>
  <c r="U24" i="1" s="1"/>
  <c r="C9" i="2"/>
  <c r="C11" i="2"/>
  <c r="R6" i="1" s="1"/>
  <c r="C12" i="2"/>
  <c r="U21" i="1" s="1"/>
  <c r="C14" i="2"/>
  <c r="U28" i="1" s="1"/>
  <c r="C16" i="2"/>
  <c r="U22" i="1" s="1"/>
  <c r="C17" i="2"/>
  <c r="R4" i="1" s="1"/>
  <c r="C19" i="2"/>
  <c r="Y6" i="1" s="1"/>
  <c r="C20" i="2"/>
  <c r="U30" i="1" s="1"/>
  <c r="C22" i="2"/>
  <c r="U26" i="1" s="1"/>
  <c r="C23" i="2"/>
  <c r="U27" i="1" s="1"/>
  <c r="C25" i="2"/>
  <c r="C26" i="2"/>
  <c r="U20" i="1" s="1"/>
  <c r="C27" i="2"/>
  <c r="I4" i="1" s="1"/>
  <c r="C29" i="2"/>
  <c r="C31" i="2"/>
  <c r="Z66" i="1" s="1"/>
  <c r="C27" i="3"/>
  <c r="C29" i="3"/>
  <c r="C30" i="3"/>
  <c r="I27" i="3"/>
  <c r="Q27" i="3"/>
  <c r="I22" i="3" l="1"/>
  <c r="S8" i="1" s="1"/>
  <c r="Q33" i="1" s="1"/>
  <c r="I21" i="3"/>
  <c r="I15" i="3"/>
  <c r="Y2" i="1"/>
  <c r="I20" i="3"/>
  <c r="R8" i="1"/>
  <c r="C15" i="3"/>
  <c r="I6" i="1"/>
</calcChain>
</file>

<file path=xl/sharedStrings.xml><?xml version="1.0" encoding="utf-8"?>
<sst xmlns="http://schemas.openxmlformats.org/spreadsheetml/2006/main" count="397" uniqueCount="355">
  <si>
    <t>Zvolte jazyk</t>
  </si>
  <si>
    <t>Select a language</t>
  </si>
  <si>
    <t>Wählen Sie eine Sprache:</t>
  </si>
  <si>
    <t>CZ</t>
  </si>
  <si>
    <t>Wybierz język:</t>
  </si>
  <si>
    <t>Sélectionner une langue:</t>
  </si>
  <si>
    <t>Kies een taal:</t>
  </si>
  <si>
    <t xml:space="preserve">  Z</t>
  </si>
  <si>
    <t xml:space="preserve">Y1 = 400         </t>
  </si>
  <si>
    <t>W</t>
  </si>
  <si>
    <t>H</t>
  </si>
  <si>
    <t>D</t>
  </si>
  <si>
    <t>K</t>
  </si>
  <si>
    <t>F</t>
  </si>
  <si>
    <t>CEL</t>
  </si>
  <si>
    <t>CPH</t>
  </si>
  <si>
    <t>Y1</t>
  </si>
  <si>
    <t>Y2</t>
  </si>
  <si>
    <t>X</t>
  </si>
  <si>
    <t>E1</t>
  </si>
  <si>
    <t>E2</t>
  </si>
  <si>
    <t>Z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</si>
  <si>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</si>
  <si>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</si>
  <si>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&gt;</t>
  </si>
  <si>
    <t>&lt;=</t>
  </si>
  <si>
    <t>min. CEL</t>
  </si>
  <si>
    <r>
      <t>CPH*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</si>
  <si>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CPH*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*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</si>
  <si>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H - 47</t>
  </si>
  <si>
    <t>H + 90
(H + 125)</t>
  </si>
  <si>
    <t>H - 75</t>
  </si>
  <si>
    <t>H + 125
(H + 160)</t>
  </si>
  <si>
    <t>Black</t>
  </si>
  <si>
    <t>RUN 600</t>
  </si>
  <si>
    <t>&gt;=90</t>
  </si>
  <si>
    <t xml:space="preserve">  &gt;=90</t>
  </si>
  <si>
    <t>http://door-documents.com/en/guardy-installation-drawing-lhr-c</t>
  </si>
  <si>
    <t>Guardy LHR-C</t>
  </si>
  <si>
    <t>A4</t>
  </si>
  <si>
    <t>LHF-C</t>
  </si>
  <si>
    <t>LHR-C</t>
  </si>
  <si>
    <t>EN</t>
  </si>
  <si>
    <t>DE</t>
  </si>
  <si>
    <t>PL</t>
  </si>
  <si>
    <t>FR</t>
  </si>
  <si>
    <t>NL</t>
  </si>
  <si>
    <t>Obecná</t>
  </si>
  <si>
    <t>General</t>
  </si>
  <si>
    <t>Allgemeine</t>
  </si>
  <si>
    <t xml:space="preserve">Ogólna </t>
  </si>
  <si>
    <t>Hauteur</t>
  </si>
  <si>
    <t>Algemene</t>
  </si>
  <si>
    <t>výška [mm]</t>
  </si>
  <si>
    <t>height [mm]</t>
  </si>
  <si>
    <t>Höhe [mm]</t>
  </si>
  <si>
    <t>wysokość [mm]</t>
  </si>
  <si>
    <t>Générale [mm]</t>
  </si>
  <si>
    <t>hoogte [mm]</t>
  </si>
  <si>
    <t>Min. výška stropu [mm]</t>
  </si>
  <si>
    <t>Min. height of ceiling [mm]</t>
  </si>
  <si>
    <t>Min. Deckenhöhe [mm]</t>
  </si>
  <si>
    <t>Min wysokość stropu [mm]</t>
  </si>
  <si>
    <t>Hauteur minimale du plafond [mm]</t>
  </si>
  <si>
    <t>Min. plafondhoogte [mm]</t>
  </si>
  <si>
    <t>Vrata bez motoru</t>
  </si>
  <si>
    <t>Manually operated</t>
  </si>
  <si>
    <t>Tor ohne Motor</t>
  </si>
  <si>
    <t>Brama bez napędu</t>
  </si>
  <si>
    <t>Porte sans moteur</t>
  </si>
  <si>
    <t>Deur zonder motor</t>
  </si>
  <si>
    <t>Vrata s motorem</t>
  </si>
  <si>
    <t>Electrically operated</t>
  </si>
  <si>
    <t>Tor mit Motor</t>
  </si>
  <si>
    <t>Brama z napędem</t>
  </si>
  <si>
    <t>Porte avec moteur</t>
  </si>
  <si>
    <t>Garaged. met motor</t>
  </si>
  <si>
    <t>Výška stropu [mm]</t>
  </si>
  <si>
    <t>Height of ceiling [mm]</t>
  </si>
  <si>
    <t>Deckenhöhe [mm]</t>
  </si>
  <si>
    <t>Wysokość stropu [mm]</t>
  </si>
  <si>
    <t>Hauteur du plafond [mm]</t>
  </si>
  <si>
    <t>Plafondhoogte [mm]</t>
  </si>
  <si>
    <t>Výška ke spodní hraně překladového profilu [mm]</t>
  </si>
  <si>
    <t>Height to bottom edge of lintel profile [mm]</t>
  </si>
  <si>
    <t>Höhe zur unteren Kante des Sturzprofiles [mm]</t>
  </si>
  <si>
    <t>Wysokość do dolnej krawędzi profilu nadproża [mm]</t>
  </si>
  <si>
    <t>Hauteur jusqu'à l'arête inférieure du profilé de linteau [mm]</t>
  </si>
  <si>
    <t>Hoogte vanaf de onderrand van het dwarsbalkprofiel [mm]</t>
  </si>
  <si>
    <t>Spodní hrana plně otevřených vrat [mm]</t>
  </si>
  <si>
    <t>Bottom edge of fully open door [mm]</t>
  </si>
  <si>
    <t>Untere Kante des vollständig geöffneten Tors [mm]</t>
  </si>
  <si>
    <t>Dolna krawędź w pełni otwartej bramy [mm]</t>
  </si>
  <si>
    <t>Arête inférieure de la porte toute ouverte [mm]</t>
  </si>
  <si>
    <t>Onderste rand van een volledig geopende deur [mm]</t>
  </si>
  <si>
    <t>Spodní hrana plně otevřených vrat (CPH) [mm]</t>
  </si>
  <si>
    <t>Bottom edge of fully open door (CPH) [mm]</t>
  </si>
  <si>
    <t>Untere Kante des vollständig geöffneten Tors (CPH) [mm]</t>
  </si>
  <si>
    <t>Dolna krawędź w pełni otwartej bramy (CPH) [mm]</t>
  </si>
  <si>
    <t>Arête inférieure de la porte toute ouverte (CPH) [mm]</t>
  </si>
  <si>
    <t>Onderste rand van een volledig geopende deur (CPH) [mm]</t>
  </si>
  <si>
    <t>Hloubka vedení [mm]</t>
  </si>
  <si>
    <t>Back room [mm]</t>
  </si>
  <si>
    <t>Führungstiefe [mm]</t>
  </si>
  <si>
    <t>Głębokość prowadzenia [mm]</t>
  </si>
  <si>
    <t>Profondeur du guidage [mm]</t>
  </si>
  <si>
    <t>Inbouwdiepte van de rails [mm]</t>
  </si>
  <si>
    <t>Hloubka vedení (D) [mm]</t>
  </si>
  <si>
    <t>Back room (D) [mm]</t>
  </si>
  <si>
    <t>Führungstiefe (D) [mm]</t>
  </si>
  <si>
    <t>Głębokość prowadzenia (D) [mm]</t>
  </si>
  <si>
    <t>Profondeur du guidage (D) [mm]</t>
  </si>
  <si>
    <t>Diepte van de geleidingsrail (D) [mm]</t>
  </si>
  <si>
    <t>Délka pohonu [mm]</t>
  </si>
  <si>
    <t>Length of motor [mm]</t>
  </si>
  <si>
    <t>Antriebslänge [mm]</t>
  </si>
  <si>
    <t>Długość napędu [mm]</t>
  </si>
  <si>
    <t>Longueur de la propulsion [mm]</t>
  </si>
  <si>
    <t>Inbouwdiepte incl. de aandrijving [mm]</t>
  </si>
  <si>
    <t>Délka pohonu (X) [mm]</t>
  </si>
  <si>
    <t>Length of motor (X) [mm]</t>
  </si>
  <si>
    <t>Antriebslänge (X) [mm]</t>
  </si>
  <si>
    <t>Długość napędu (X) [mm]</t>
  </si>
  <si>
    <t>Longueur de la propulsion (X) [mm]</t>
  </si>
  <si>
    <t>Inbouwdiepte incl. de aandrijving (X) [mm]</t>
  </si>
  <si>
    <t>Spodní hrana horizontálního vedení [mm]</t>
  </si>
  <si>
    <t>Bottom edge of horizontal tracks [mm]</t>
  </si>
  <si>
    <r>
      <t>Untere Kante der H</t>
    </r>
    <r>
      <rPr>
        <sz val="11"/>
        <color theme="1"/>
        <rFont val="Calibri"/>
        <family val="2"/>
        <charset val="238"/>
        <scheme val="minor"/>
      </rPr>
      <t>orizontalführung [mm]</t>
    </r>
  </si>
  <si>
    <t>Dolna krawędź prowadzenia poziomego [mm]</t>
  </si>
  <si>
    <r>
      <t>Arête inférieure du guidage</t>
    </r>
    <r>
      <rPr>
        <sz val="11"/>
        <color theme="1"/>
        <rFont val="Calibri"/>
        <family val="2"/>
        <charset val="238"/>
        <scheme val="minor"/>
      </rPr>
      <t xml:space="preserve"> horizontale [mm]</t>
    </r>
  </si>
  <si>
    <t>Onderste rand van de horizontale rails [mm]</t>
  </si>
  <si>
    <t>Spodní hrana horizontálního vedení (K) [mm]</t>
  </si>
  <si>
    <t>Bottom edge of horizontal tracks (K) [mm]</t>
  </si>
  <si>
    <t>Untere Kante der Horizontalführung (K) [mm]</t>
  </si>
  <si>
    <t>Dolna krawędź prowadzenia poziomego (K) [mm]</t>
  </si>
  <si>
    <t>Arête inférieure du guidage horizontale (K) [mm]</t>
  </si>
  <si>
    <t>Onderste rand van de horizontale rails (K) [mm]</t>
  </si>
  <si>
    <t>Kotvící bod lišty pohonu [mm]</t>
  </si>
  <si>
    <t>Hanging point for motor track [mm]</t>
  </si>
  <si>
    <t>Verankerungspunkt der Antriebsleiste [mm]</t>
  </si>
  <si>
    <t>Punkt uchwycenia szyny napędu [mm]</t>
  </si>
  <si>
    <t>Point d'ancrage de la glissière de propulsion [mm]</t>
  </si>
  <si>
    <t>Bevestigingspunt van de motorgeleidingsrail [mm]</t>
  </si>
  <si>
    <t>Kotvící bod lišty pohonu (E1) [mm]</t>
  </si>
  <si>
    <t>Hanging point for motor track (E1) [mm]</t>
  </si>
  <si>
    <t>Verankerungspunkt der Antriebsleiste (E1) [mm]</t>
  </si>
  <si>
    <t>Punkt uchwycenia szyny napędu (E1) [mm]</t>
  </si>
  <si>
    <t>Point d'ancrage de la glissière de propulsion (E1) [mm]</t>
  </si>
  <si>
    <t>Bevestigingspunt van de motorgeleidingsrail (E1) [mm]</t>
  </si>
  <si>
    <t>Kotvící bod pohonu [mm]</t>
  </si>
  <si>
    <t>Hanging point for motor [mm]</t>
  </si>
  <si>
    <t>Verankerungspunkt des Antriebes [mm]</t>
  </si>
  <si>
    <t>Punkt uchwycenia napędu [mm]</t>
  </si>
  <si>
    <t>Point d'ancrage de la propulsion [mm]</t>
  </si>
  <si>
    <t>Bevestigingspunt van de aandrijvingsgeleidingsbalk [mm]</t>
  </si>
  <si>
    <t>Kotvící bod pohonu (E2) [mm]</t>
  </si>
  <si>
    <t>Hanging point for motor (E2) [mm]</t>
  </si>
  <si>
    <t>Verankerungspunkt des Antriebes (E2) [mm]</t>
  </si>
  <si>
    <t>Punkt uchwycenia napędu (E2) [mm]</t>
  </si>
  <si>
    <t>Point d'ancrage de la propulsion (E2) [mm]</t>
  </si>
  <si>
    <t>Bevestigingsp. van de aandrijvingsgeleidingsbalk (E2) [mm]</t>
  </si>
  <si>
    <t>Kotvící bod</t>
  </si>
  <si>
    <t>Hanging point</t>
  </si>
  <si>
    <t>Verankerungspunkt</t>
  </si>
  <si>
    <t>Punkt uchwycenia</t>
  </si>
  <si>
    <t>Point d'ancrage</t>
  </si>
  <si>
    <t>Bevestigingspunt</t>
  </si>
  <si>
    <t>Kotvící bod (W&gt;3000 nebo H&gt;2500)</t>
  </si>
  <si>
    <t>Hanging point (W&gt;3000 or H&gt;2500)</t>
  </si>
  <si>
    <t>Verankerungspunkt (W&gt;3000 oder H&gt;2500)</t>
  </si>
  <si>
    <t>Punkt uchwycenia (W&gt;3000 lub H&gt;2500)</t>
  </si>
  <si>
    <t>Point d'ancrage (W&gt;3000 ou H&gt;2500)</t>
  </si>
  <si>
    <t>Bevestigingspunt (W&gt;3000 of H&gt;2500)</t>
  </si>
  <si>
    <t>Standardní montáž</t>
  </si>
  <si>
    <t>Standard installation</t>
  </si>
  <si>
    <t>Standardmontage</t>
  </si>
  <si>
    <t>Instalacja standardowa</t>
  </si>
  <si>
    <t>Assemblage standard</t>
  </si>
  <si>
    <t>Standaardmontage</t>
  </si>
  <si>
    <t>Alternativní montáž</t>
  </si>
  <si>
    <t>Alternative installation</t>
  </si>
  <si>
    <t>Alternative Montage</t>
  </si>
  <si>
    <t>Instalacja alternatywna</t>
  </si>
  <si>
    <t xml:space="preserve">Assemblage alternatif </t>
  </si>
  <si>
    <t>Alternatieve montage</t>
  </si>
  <si>
    <t>Výška stavebního otvoru [mm]</t>
  </si>
  <si>
    <t>Clear opening height [mm]</t>
  </si>
  <si>
    <t>Höhe der Bauöffnung [mm]</t>
  </si>
  <si>
    <t>Wysokość otworu budowlanego [mm]</t>
  </si>
  <si>
    <t>Hauteur de la baie de construction [mm]</t>
  </si>
  <si>
    <t>Dagmaat hoogte [mm]</t>
  </si>
  <si>
    <t>Výška stavebního otvoru (H) [mm]</t>
  </si>
  <si>
    <t>Clear opening height (H) [mm]</t>
  </si>
  <si>
    <t>Höhe der Bauöffnung (H) [mm]</t>
  </si>
  <si>
    <t>Wysokość otworu budowlanego (H) [mm]</t>
  </si>
  <si>
    <t>Hauteur de la baie de construction (H) [mm]</t>
  </si>
  <si>
    <t>Dagmaat hoogte (H) [mm]</t>
  </si>
  <si>
    <t>Standardní situace</t>
  </si>
  <si>
    <t>Standard situation</t>
  </si>
  <si>
    <t>Standardsituation</t>
  </si>
  <si>
    <t>Sytuacja standardowa</t>
  </si>
  <si>
    <t>Situation standard</t>
  </si>
  <si>
    <t>Standaardsituatie</t>
  </si>
  <si>
    <t>Nestandardní situace</t>
  </si>
  <si>
    <t>Non-standard situation</t>
  </si>
  <si>
    <t>Ungewöhnliche Situation</t>
  </si>
  <si>
    <t>Sytuacja niestandardowa</t>
  </si>
  <si>
    <t>Situation hors de standard</t>
  </si>
  <si>
    <t>Niet-standaardsituaties</t>
  </si>
  <si>
    <t>Skladba panelů a design křídla je vždy řešen vůči FOH.</t>
  </si>
  <si>
    <t>Panel assembly and design of door leaf is always considered based on FOH.</t>
  </si>
  <si>
    <t>Die Paneelaufteilung und das Design des Torblattes wird immer auf der Basis von FOH-Mass gelöst.</t>
  </si>
  <si>
    <t>Skład paneli i konstrukcja skrzydła jest zawsze rozpatrywane na podstawie FOH.</t>
  </si>
  <si>
    <t>Assemblage de panneau et la conception de battant de porte est toujours considéré comme la base de FOH.</t>
  </si>
  <si>
    <t>Paneel samenstelling en complete opbouw van het deurblad wordt altijd  gebaseerd op FOH.</t>
  </si>
  <si>
    <t>Verze:</t>
  </si>
  <si>
    <t>Version:</t>
  </si>
  <si>
    <t>Wersja:</t>
  </si>
  <si>
    <t>VERSION:</t>
  </si>
  <si>
    <t>Versie:</t>
  </si>
  <si>
    <t>Formát:</t>
  </si>
  <si>
    <t>Sheet:</t>
  </si>
  <si>
    <t>Format:</t>
  </si>
  <si>
    <t>FORMAT:</t>
  </si>
  <si>
    <t>Formaat:</t>
  </si>
  <si>
    <t>Pozice zásuvky, cca. 250 mm</t>
  </si>
  <si>
    <t>Position of socket, ca. 250 mm</t>
  </si>
  <si>
    <t>Die Position der Steckdose ca.250 mm</t>
  </si>
  <si>
    <t>Położenie gniazda około 250 mm</t>
  </si>
  <si>
    <t>La position de la prise électrique env. 250 mm</t>
  </si>
  <si>
    <t>Positie van Eurostopcontact CEE, ca. 250mm</t>
  </si>
  <si>
    <t>Zásuvka typu CEE 7/3 nebo CEE 7/5</t>
  </si>
  <si>
    <t>CEE 7/3 or CEE 7/5 socket</t>
  </si>
  <si>
    <t>Steckdose CEE 7/3 oder CEE 7/5</t>
  </si>
  <si>
    <t>Gniazdo CEE 7/3 lub CEE 7/5</t>
  </si>
  <si>
    <t>Prise CEE 7/3 ou CEE 7/5</t>
  </si>
  <si>
    <t>Eurostopcontact CEE 7/3 of CEE 7/5</t>
  </si>
  <si>
    <t>230V, 50Hz, jištěno 6 A (10 A) jističem</t>
  </si>
  <si>
    <t>230V, 50Hz, protect by 6 A (10 A) circuit breaker</t>
  </si>
  <si>
    <t>230V, 50Hz, Sicherung 6 A (10 A) mit Schutzschalter</t>
  </si>
  <si>
    <t>230V, 50Hz, ochrona za pomocą bezpiecznika 6A (10A)</t>
  </si>
  <si>
    <t>230V, 50Hz, assuré par un disjoncteur 6 A (10 A)</t>
  </si>
  <si>
    <t>230V, 50Hz, afgezekerd met 6A (10A)</t>
  </si>
  <si>
    <t>Šířka stavebního otvoru [mm]</t>
  </si>
  <si>
    <t>Opening width [mm]</t>
  </si>
  <si>
    <t>Lichte Breite [mm]</t>
  </si>
  <si>
    <t>Szerokość otworu [mm]</t>
  </si>
  <si>
    <t>Largeur de baie [mm]</t>
  </si>
  <si>
    <t xml:space="preserve">Opening breedte </t>
  </si>
  <si>
    <t>Šířka stavebního otvoru (W) [mm]</t>
  </si>
  <si>
    <t>Opening width (W) [mm]</t>
  </si>
  <si>
    <t>Lichte Breite (W) [mm]</t>
  </si>
  <si>
    <t>Szerokość otworu (W) [mm]</t>
  </si>
  <si>
    <t>Largeur de baie (W) [mm]</t>
  </si>
  <si>
    <t>Opening breedte (W) [mm]</t>
  </si>
  <si>
    <t>Ovládání</t>
  </si>
  <si>
    <t>Operated</t>
  </si>
  <si>
    <t>Bedienung</t>
  </si>
  <si>
    <t>Sterowanie</t>
  </si>
  <si>
    <t>Commande</t>
  </si>
  <si>
    <t>Bediening</t>
  </si>
  <si>
    <t>ručně</t>
  </si>
  <si>
    <t>manually</t>
  </si>
  <si>
    <t>händisch</t>
  </si>
  <si>
    <t>ręcznie wykonany</t>
  </si>
  <si>
    <t>manuelle</t>
  </si>
  <si>
    <t>handbediend</t>
  </si>
  <si>
    <t>elektricky</t>
  </si>
  <si>
    <t xml:space="preserve">electrical </t>
  </si>
  <si>
    <t>elektrisch</t>
  </si>
  <si>
    <t>elektrycznie</t>
  </si>
  <si>
    <t>motorisée</t>
  </si>
  <si>
    <t>Výška nádpraží [mm]</t>
  </si>
  <si>
    <t>Height of lintel [mm]</t>
  </si>
  <si>
    <t>Freiraum über Sturz [mm]</t>
  </si>
  <si>
    <t>Wysokość nadproża [mm]</t>
  </si>
  <si>
    <t>Retombée de linteau [mm]</t>
  </si>
  <si>
    <t>Hoogte van de latei [mm]</t>
  </si>
  <si>
    <t>Výška nádpraží (F) [mm]</t>
  </si>
  <si>
    <t>Height of lintel (F) [mm]</t>
  </si>
  <si>
    <t>Freiraum über Sturz (F) [mm]</t>
  </si>
  <si>
    <t>Wysokość nadproża (F) [mm]</t>
  </si>
  <si>
    <t>Retombée de linteau (F) [mm]</t>
  </si>
  <si>
    <t>Hoogte van de latei (F) [mm]</t>
  </si>
  <si>
    <t>Typ pohonu</t>
  </si>
  <si>
    <t>Type of motor</t>
  </si>
  <si>
    <t>Der Typ des Antriebs</t>
  </si>
  <si>
    <t>Rodzaj napędu</t>
  </si>
  <si>
    <t>Type de motor</t>
  </si>
  <si>
    <t>Type motor</t>
  </si>
  <si>
    <t>Informace o motoru</t>
  </si>
  <si>
    <t>Information regarding motor</t>
  </si>
  <si>
    <t>Die Information über den Antrieb</t>
  </si>
  <si>
    <t>Informacje o napędu</t>
  </si>
  <si>
    <t>Information concernant le moteur</t>
  </si>
  <si>
    <t>Informatie betreffende de motor</t>
  </si>
  <si>
    <t>Umístění horního těsnění</t>
  </si>
  <si>
    <t>Placement of top sealing</t>
  </si>
  <si>
    <t>Die Unterbringung der Oberdichtung</t>
  </si>
  <si>
    <t>Umieszczenie górnego uszczelnienia</t>
  </si>
  <si>
    <t>Emplacement du joint d'étanchéité</t>
  </si>
  <si>
    <t>Plaatsing van de top afdichting</t>
  </si>
  <si>
    <t>na překladu</t>
  </si>
  <si>
    <t>at lintel</t>
  </si>
  <si>
    <t xml:space="preserve">Auf dem Sturz </t>
  </si>
  <si>
    <t>Na nadprožu</t>
  </si>
  <si>
    <t>au linteau</t>
  </si>
  <si>
    <t>op de latei</t>
  </si>
  <si>
    <t>na horní sekci</t>
  </si>
  <si>
    <t>on the top section</t>
  </si>
  <si>
    <t>Auf der Obersektion</t>
  </si>
  <si>
    <t xml:space="preserve">Na górnej częśći </t>
  </si>
  <si>
    <t>sur le panneau supérieur</t>
  </si>
  <si>
    <t>boven op top paneel</t>
  </si>
  <si>
    <t>Verze SL vedení</t>
  </si>
  <si>
    <t>Version of SL track system</t>
  </si>
  <si>
    <t>Version der SL-Umlenkung</t>
  </si>
  <si>
    <t>SL wersja</t>
  </si>
  <si>
    <t>SL version</t>
  </si>
  <si>
    <t>Versie van SL beslagsysteem</t>
  </si>
  <si>
    <t>= sety bez předvrtaných otvorů ve svislém úhelníku; svislý úhelník v bílém provedení (RAL 9010)</t>
  </si>
  <si>
    <t>= set without pre-drilled holes in vertical angle; vertical angle in white color (RAL 9010)</t>
  </si>
  <si>
    <t>= Zargensätze ohne vorgeborte Löcher, Ausführung in RAL 9010</t>
  </si>
  <si>
    <t>= zestawy bez wcześniej nawierconych otworów pod kątem pionowym, kąt pionowy w kolorze białym (RAL 9010)</t>
  </si>
  <si>
    <t>= Le kit sans trou percé dans le cornier vertical, le cornier vertical en exécution blanc (RAL 9010)</t>
  </si>
  <si>
    <t>= Set is zonder voorgeboorde gaten in verticale hoek; verticale hoek in kleur wit (RAL 9010)</t>
  </si>
  <si>
    <t>průjezdná výška může být snížena příslušenstvím nainstalovaným na vnitřní straně vratového křídla (madlo, výztuha apod.)</t>
  </si>
  <si>
    <t>clear height could be decreased by accessories installed on inner side of door leaf (handgrip, reinforcing strut etc.)</t>
  </si>
  <si>
    <t>Durchfahrtshöhe kann bei der Montage der Zubehörteile an die Innenseite des Torflügels reduziert werden (betrifft Handgriff, Versteifungen, etc.)</t>
  </si>
  <si>
    <t>wysokość prześwitu może zostać zmniejszona dzięki akcesoriom zainstalowanym po wewnętrznej stronie skrzydła drzwi (uchwyt, wzmocnienie itp.)</t>
  </si>
  <si>
    <t>L´ouverture de passage peut être réduite par les accessoires installés en intérieur du vantail de porte (les poignées, les renforts etc.)</t>
  </si>
  <si>
    <t>De hoogte van de vrije ruimte kan worden verlaagd door accessoires die aan de binnenkant van het deurblad zijn gemonteerd (handgreep, verstevigingsprofielen, enz.)</t>
  </si>
  <si>
    <t>při použití zarážky vratového křídla</t>
  </si>
  <si>
    <t>when door stopper is used</t>
  </si>
  <si>
    <t>bei der Verwendung der Toorflügelsperre</t>
  </si>
  <si>
    <t>przy użyciu ogranicznika skrzydła bramy</t>
  </si>
  <si>
    <t>avec la butée pour ventail de porte</t>
  </si>
  <si>
    <t>wanneer de deurstopper wordt gebruikt</t>
  </si>
  <si>
    <t>Minimální únosnost stropu/maximální zatížení v každém kotevním bodě: 100 kg</t>
  </si>
  <si>
    <t>Min. load capacity of ceiling/max. weight per hanging point: 100 kg</t>
  </si>
  <si>
    <t>Minimale Tragfähigkeit der Decke/maximale Belastung in jedem einzelnen Befestigungspunkt: 100kg</t>
  </si>
  <si>
    <t>Minimalne obciążenie sufitu / maksymalne obciążenie w każdym punkcie uchwycenia: 100 kg</t>
  </si>
  <si>
    <t>Capacité min.de charge du plafond / capacité max.de charge des points d´ancre : 100kg</t>
  </si>
  <si>
    <t>Minimaal draagvermogen van plafond/maximaal gewicht per bevestigingspunt: 100kg</t>
  </si>
  <si>
    <t>Výběr jazyka</t>
  </si>
  <si>
    <t>Hloubka vedení</t>
  </si>
  <si>
    <t>Délka pohonu</t>
  </si>
  <si>
    <t>Kotvící bod pohonu</t>
  </si>
  <si>
    <t>Výběr uložení</t>
  </si>
  <si>
    <t>Ano</t>
  </si>
  <si>
    <t>Ne</t>
  </si>
  <si>
    <t>GV-SL</t>
  </si>
  <si>
    <t>SL 350</t>
  </si>
  <si>
    <t>SL 420</t>
  </si>
  <si>
    <t>Version of SL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</si>
</sst>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Border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textRotation="90"/>
    </xf>
    <xf numFmtId="0" fontId="0" fillId="0" borderId="12" xfId="0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3" xfId="0" applyFont="1" applyFill="1" applyBorder="1"/>
    <xf numFmtId="0" fontId="9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8" xfId="0" applyFont="1" applyFill="1" applyBorder="1"/>
    <xf numFmtId="0" fontId="9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/>
    <xf numFmtId="0" fontId="9" fillId="0" borderId="19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0" fillId="0" borderId="0" xfId="0" quotePrefix="1" applyAlignment="1">
      <alignment horizontal="right"/>
    </xf>
    <xf numFmtId="0" fontId="0" fillId="0" borderId="19" xfId="0" applyFill="1" applyBorder="1"/>
    <xf numFmtId="0" fontId="0" fillId="0" borderId="23" xfId="0" applyFill="1" applyBorder="1"/>
    <xf numFmtId="0" fontId="1" fillId="0" borderId="24" xfId="0" applyFont="1" applyFill="1" applyBorder="1" applyAlignment="1">
      <alignment horizontal="center"/>
    </xf>
    <xf numFmtId="0" fontId="0" fillId="0" borderId="28" xfId="0" applyFill="1" applyBorder="1"/>
    <xf numFmtId="0" fontId="1" fillId="0" borderId="29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18" xfId="0" applyFill="1" applyBorder="1"/>
    <xf numFmtId="0" fontId="1" fillId="0" borderId="19" xfId="0" applyFont="1" applyFill="1" applyBorder="1" applyAlignment="1">
      <alignment horizontal="center"/>
    </xf>
    <xf numFmtId="0" fontId="10" fillId="0" borderId="15" xfId="0" applyFon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53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Fill="1" applyBorder="1"/>
    <xf numFmtId="0" fontId="13" fillId="0" borderId="0" xfId="0" quotePrefix="1" applyFont="1"/>
    <xf numFmtId="0" fontId="0" fillId="0" borderId="0" xfId="0" quotePrefix="1" applyAlignment="1">
      <alignment vertical="center"/>
    </xf>
    <xf numFmtId="0" fontId="1" fillId="0" borderId="0" xfId="0" applyFont="1"/>
    <xf numFmtId="0" fontId="0" fillId="2" borderId="32" xfId="0" applyFill="1" applyBorder="1"/>
    <xf numFmtId="0" fontId="0" fillId="2" borderId="31" xfId="0" applyFill="1" applyBorder="1"/>
    <xf numFmtId="0" fontId="0" fillId="2" borderId="30" xfId="0" applyFill="1" applyBorder="1"/>
    <xf numFmtId="0" fontId="0" fillId="0" borderId="32" xfId="0" applyBorder="1"/>
    <xf numFmtId="0" fontId="0" fillId="3" borderId="31" xfId="0" applyFill="1" applyBorder="1"/>
    <xf numFmtId="0" fontId="0" fillId="3" borderId="30" xfId="0" applyFill="1" applyBorder="1"/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textRotation="90"/>
    </xf>
    <xf numFmtId="0" fontId="0" fillId="0" borderId="0" xfId="0" applyAlignment="1">
      <alignment horizontal="center" textRotation="90"/>
    </xf>
    <xf numFmtId="0" fontId="8" fillId="0" borderId="1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118946</xdr:colOff>
      <xdr:row>15</xdr:row>
      <xdr:rowOff>133349</xdr:rowOff>
    </xdr:from>
    <xdr:to>
      <xdr:col>15</xdr:col>
      <xdr:colOff>343064</xdr:colOff>
      <xdr:row>51</xdr:row>
      <xdr:rowOff>152399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746" y="2952749"/>
          <a:ext cx="7539318" cy="670941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50</xdr:row>
      <xdr:rowOff>78187</xdr:rowOff>
    </xdr:from>
    <xdr:to>
      <xdr:col>17</xdr:col>
      <xdr:colOff>41450</xdr:colOff>
      <xdr:row>51</xdr:row>
      <xdr:rowOff>23154</xdr:rowOff>
    </xdr:to>
    <xdr:sp macro="" textlink="">
      <xdr:nvSpPr>
        <xdr:cNvPr id="3" name="Rectangle 376" descr="Široký šikmo nahoru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rot="5400000">
          <a:off x="5439391" y="4567656"/>
          <a:ext cx="135467" cy="9795050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bg1">
              <a:lumMod val="65000"/>
            </a:schemeClr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375566</xdr:colOff>
      <xdr:row>21</xdr:row>
      <xdr:rowOff>8947</xdr:rowOff>
    </xdr:from>
    <xdr:to>
      <xdr:col>11</xdr:col>
      <xdr:colOff>375566</xdr:colOff>
      <xdr:row>50</xdr:row>
      <xdr:rowOff>81972</xdr:rowOff>
    </xdr:to>
    <xdr:cxnSp macro="">
      <xdr:nvCxnSpPr>
        <xdr:cNvPr id="4" name="Přímá spojnic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081166" y="3925627"/>
          <a:ext cx="0" cy="5475605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238990</xdr:colOff>
      <xdr:row>16</xdr:row>
      <xdr:rowOff>5772</xdr:rowOff>
    </xdr:from>
    <xdr:to>
      <xdr:col>15</xdr:col>
      <xdr:colOff>127061</xdr:colOff>
      <xdr:row>16</xdr:row>
      <xdr:rowOff>141234</xdr:rowOff>
    </xdr:to>
    <xdr:sp macro="" textlink="">
      <xdr:nvSpPr>
        <xdr:cNvPr id="5" name="Rectangle 376" descr="Široký šikmo nahoru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 rot="5400000">
          <a:off x="4687295" y="-1440253"/>
          <a:ext cx="135462" cy="9032071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bg1">
              <a:lumMod val="65000"/>
            </a:schemeClr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424078</xdr:colOff>
      <xdr:row>21</xdr:row>
      <xdr:rowOff>170872</xdr:rowOff>
    </xdr:from>
    <xdr:to>
      <xdr:col>6</xdr:col>
      <xdr:colOff>424078</xdr:colOff>
      <xdr:row>50</xdr:row>
      <xdr:rowOff>75008</xdr:rowOff>
    </xdr:to>
    <xdr:cxnSp macro="">
      <xdr:nvCxnSpPr>
        <xdr:cNvPr id="6" name="Přímá spojnic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081678" y="4087552"/>
          <a:ext cx="0" cy="5306716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93195</xdr:colOff>
      <xdr:row>16</xdr:row>
      <xdr:rowOff>5773</xdr:rowOff>
    </xdr:from>
    <xdr:to>
      <xdr:col>15</xdr:col>
      <xdr:colOff>245540</xdr:colOff>
      <xdr:row>20</xdr:row>
      <xdr:rowOff>55302</xdr:rowOff>
    </xdr:to>
    <xdr:sp macro="" textlink="">
      <xdr:nvSpPr>
        <xdr:cNvPr id="7" name="Rectangle 375" descr="Široký šikmo nahoru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9237195" y="3008053"/>
          <a:ext cx="152345" cy="781049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bg1">
              <a:lumMod val="65000"/>
            </a:schemeClr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436522</xdr:colOff>
      <xdr:row>16</xdr:row>
      <xdr:rowOff>149469</xdr:rowOff>
    </xdr:from>
    <xdr:to>
      <xdr:col>16</xdr:col>
      <xdr:colOff>436522</xdr:colOff>
      <xdr:row>50</xdr:row>
      <xdr:rowOff>78630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0190122" y="3151749"/>
          <a:ext cx="0" cy="624614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12708</xdr:colOff>
      <xdr:row>20</xdr:row>
      <xdr:rowOff>59112</xdr:rowOff>
    </xdr:from>
    <xdr:to>
      <xdr:col>16</xdr:col>
      <xdr:colOff>12708</xdr:colOff>
      <xdr:row>50</xdr:row>
      <xdr:rowOff>82640</xdr:rowOff>
    </xdr:to>
    <xdr:cxnSp macro="">
      <xdr:nvCxnSpPr>
        <xdr:cNvPr id="9" name="Přímá spojnic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9766308" y="3792912"/>
          <a:ext cx="0" cy="5608988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507999</xdr:colOff>
      <xdr:row>14</xdr:row>
      <xdr:rowOff>137746</xdr:rowOff>
    </xdr:from>
    <xdr:to>
      <xdr:col>11</xdr:col>
      <xdr:colOff>507999</xdr:colOff>
      <xdr:row>16</xdr:row>
      <xdr:rowOff>144481</xdr:rowOff>
    </xdr:to>
    <xdr:cxnSp macro="">
      <xdr:nvCxnSpPr>
        <xdr:cNvPr id="10" name="Přímá spojnic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7213599" y="2774266"/>
          <a:ext cx="0" cy="37249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94351</xdr:colOff>
      <xdr:row>10</xdr:row>
      <xdr:rowOff>88900</xdr:rowOff>
    </xdr:from>
    <xdr:to>
      <xdr:col>15</xdr:col>
      <xdr:colOff>94351</xdr:colOff>
      <xdr:row>16</xdr:row>
      <xdr:rowOff>0</xdr:rowOff>
    </xdr:to>
    <xdr:cxnSp macro="">
      <xdr:nvCxnSpPr>
        <xdr:cNvPr id="11" name="Přímá spojnic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9238351" y="1993900"/>
          <a:ext cx="0" cy="100838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507023</xdr:colOff>
      <xdr:row>15</xdr:row>
      <xdr:rowOff>75860</xdr:rowOff>
    </xdr:from>
    <xdr:to>
      <xdr:col>15</xdr:col>
      <xdr:colOff>88908</xdr:colOff>
      <xdr:row>15</xdr:row>
      <xdr:rowOff>75861</xdr:rowOff>
    </xdr:to>
    <xdr:cxnSp macro="">
      <xdr:nvCxnSpPr>
        <xdr:cNvPr id="12" name="Přímá spojnic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7212623" y="2895260"/>
          <a:ext cx="2020285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231058</xdr:colOff>
      <xdr:row>13</xdr:row>
      <xdr:rowOff>83239</xdr:rowOff>
    </xdr:from>
    <xdr:to>
      <xdr:col>15</xdr:col>
      <xdr:colOff>87522</xdr:colOff>
      <xdr:row>13</xdr:row>
      <xdr:rowOff>83239</xdr:rowOff>
    </xdr:to>
    <xdr:cxnSp macro="">
      <xdr:nvCxnSpPr>
        <xdr:cNvPr id="13" name="Přímá spojnic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059858" y="2536879"/>
          <a:ext cx="717166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119788</xdr:colOff>
      <xdr:row>12</xdr:row>
      <xdr:rowOff>18472</xdr:rowOff>
    </xdr:from>
    <xdr:to>
      <xdr:col>2</xdr:col>
      <xdr:colOff>119788</xdr:colOff>
      <xdr:row>16</xdr:row>
      <xdr:rowOff>139337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338988" y="2289232"/>
          <a:ext cx="0" cy="85238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121920</xdr:colOff>
      <xdr:row>12</xdr:row>
      <xdr:rowOff>77880</xdr:rowOff>
    </xdr:from>
    <xdr:to>
      <xdr:col>15</xdr:col>
      <xdr:colOff>88908</xdr:colOff>
      <xdr:row>12</xdr:row>
      <xdr:rowOff>77880</xdr:rowOff>
    </xdr:to>
    <xdr:cxnSp macro="">
      <xdr:nvCxnSpPr>
        <xdr:cNvPr id="15" name="Přímá spojnic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341120" y="2348640"/>
          <a:ext cx="7891788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215310</xdr:colOff>
      <xdr:row>10</xdr:row>
      <xdr:rowOff>129461</xdr:rowOff>
    </xdr:from>
    <xdr:to>
      <xdr:col>1</xdr:col>
      <xdr:colOff>215310</xdr:colOff>
      <xdr:row>18</xdr:row>
      <xdr:rowOff>692</xdr:rowOff>
    </xdr:to>
    <xdr:cxnSp macro="">
      <xdr:nvCxnSpPr>
        <xdr:cNvPr id="16" name="Přímá spojnic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824910" y="2034461"/>
          <a:ext cx="0" cy="1334271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211282</xdr:colOff>
      <xdr:row>10</xdr:row>
      <xdr:rowOff>179207</xdr:rowOff>
    </xdr:from>
    <xdr:to>
      <xdr:col>15</xdr:col>
      <xdr:colOff>88908</xdr:colOff>
      <xdr:row>10</xdr:row>
      <xdr:rowOff>179207</xdr:rowOff>
    </xdr:to>
    <xdr:cxnSp macro="">
      <xdr:nvCxnSpPr>
        <xdr:cNvPr id="17" name="Přímá spojnic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820882" y="2084207"/>
          <a:ext cx="8412026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398760</xdr:colOff>
      <xdr:row>16</xdr:row>
      <xdr:rowOff>135013</xdr:rowOff>
    </xdr:from>
    <xdr:to>
      <xdr:col>1</xdr:col>
      <xdr:colOff>10140</xdr:colOff>
      <xdr:row>17</xdr:row>
      <xdr:rowOff>135013</xdr:rowOff>
    </xdr:to>
    <xdr:sp macro="" textlink="">
      <xdr:nvSpPr>
        <xdr:cNvPr id="18" name="Rectangle 376" descr="Široký šikmo nahoru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 flipH="1">
          <a:off x="398760" y="3137293"/>
          <a:ext cx="220980" cy="182880"/>
        </a:xfrm>
        <a:prstGeom prst="rect">
          <a:avLst/>
        </a:prstGeom>
        <a:solidFill>
          <a:schemeClr val="tx1"/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509250</xdr:colOff>
      <xdr:row>10</xdr:row>
      <xdr:rowOff>129389</xdr:rowOff>
    </xdr:from>
    <xdr:to>
      <xdr:col>0</xdr:col>
      <xdr:colOff>509900</xdr:colOff>
      <xdr:row>16</xdr:row>
      <xdr:rowOff>135013</xdr:rowOff>
    </xdr:to>
    <xdr:cxnSp macro="">
      <xdr:nvCxnSpPr>
        <xdr:cNvPr id="19" name="Přímá spojnic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endCxn id="18" idx="0"/>
        </xdr:cNvCxnSpPr>
      </xdr:nvCxnSpPr>
      <xdr:spPr>
        <a:xfrm flipH="1">
          <a:off x="509250" y="2034389"/>
          <a:ext cx="650" cy="1102904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509250</xdr:colOff>
      <xdr:row>17</xdr:row>
      <xdr:rowOff>135013</xdr:rowOff>
    </xdr:from>
    <xdr:to>
      <xdr:col>2</xdr:col>
      <xdr:colOff>0</xdr:colOff>
      <xdr:row>24</xdr:row>
      <xdr:rowOff>0</xdr:rowOff>
    </xdr:to>
    <xdr:cxnSp macro="">
      <xdr:nvCxnSpPr>
        <xdr:cNvPr id="20" name="Přímá spojnice 14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stCxn id="18" idx="2"/>
        </xdr:cNvCxnSpPr>
      </xdr:nvCxnSpPr>
      <xdr:spPr>
        <a:xfrm>
          <a:off x="509250" y="3320173"/>
          <a:ext cx="709950" cy="1160387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507972</xdr:colOff>
      <xdr:row>10</xdr:row>
      <xdr:rowOff>178206</xdr:rowOff>
    </xdr:from>
    <xdr:to>
      <xdr:col>1</xdr:col>
      <xdr:colOff>208088</xdr:colOff>
      <xdr:row>10</xdr:row>
      <xdr:rowOff>178207</xdr:rowOff>
    </xdr:to>
    <xdr:cxnSp macro="">
      <xdr:nvCxnSpPr>
        <xdr:cNvPr id="21" name="Přímá spojnic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507972" y="2083206"/>
          <a:ext cx="309716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234563</xdr:colOff>
      <xdr:row>12</xdr:row>
      <xdr:rowOff>177800</xdr:rowOff>
    </xdr:from>
    <xdr:to>
      <xdr:col>3</xdr:col>
      <xdr:colOff>234563</xdr:colOff>
      <xdr:row>18</xdr:row>
      <xdr:rowOff>160020</xdr:rowOff>
    </xdr:to>
    <xdr:cxnSp macro="">
      <xdr:nvCxnSpPr>
        <xdr:cNvPr id="22" name="Přímá spojnic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2063363" y="2448560"/>
          <a:ext cx="0" cy="10795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108857</xdr:colOff>
      <xdr:row>20</xdr:row>
      <xdr:rowOff>54315</xdr:rowOff>
    </xdr:from>
    <xdr:to>
      <xdr:col>16</xdr:col>
      <xdr:colOff>129997</xdr:colOff>
      <xdr:row>20</xdr:row>
      <xdr:rowOff>54316</xdr:rowOff>
    </xdr:to>
    <xdr:cxnSp macro="">
      <xdr:nvCxnSpPr>
        <xdr:cNvPr id="23" name="Přímá spojnic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9252857" y="3788115"/>
          <a:ext cx="630740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252986</xdr:colOff>
      <xdr:row>16</xdr:row>
      <xdr:rowOff>150033</xdr:rowOff>
    </xdr:from>
    <xdr:to>
      <xdr:col>17</xdr:col>
      <xdr:colOff>28397</xdr:colOff>
      <xdr:row>16</xdr:row>
      <xdr:rowOff>150033</xdr:rowOff>
    </xdr:to>
    <xdr:cxnSp macro="">
      <xdr:nvCxnSpPr>
        <xdr:cNvPr id="24" name="Přímá spojnic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9396986" y="3152313"/>
          <a:ext cx="994611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205014</xdr:colOff>
      <xdr:row>28</xdr:row>
      <xdr:rowOff>147012</xdr:rowOff>
    </xdr:from>
    <xdr:to>
      <xdr:col>14</xdr:col>
      <xdr:colOff>205014</xdr:colOff>
      <xdr:row>50</xdr:row>
      <xdr:rowOff>51699</xdr:rowOff>
    </xdr:to>
    <xdr:cxnSp macro="">
      <xdr:nvCxnSpPr>
        <xdr:cNvPr id="25" name="Přímá spojnic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8739414" y="5359092"/>
          <a:ext cx="0" cy="4011867"/>
        </a:xfrm>
        <a:prstGeom prst="line">
          <a:avLst/>
        </a:prstGeom>
        <a:ln>
          <a:prstDash val="dash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281214</xdr:colOff>
      <xdr:row>47</xdr:row>
      <xdr:rowOff>150757</xdr:rowOff>
    </xdr:from>
    <xdr:to>
      <xdr:col>14</xdr:col>
      <xdr:colOff>192314</xdr:colOff>
      <xdr:row>47</xdr:row>
      <xdr:rowOff>150758</xdr:rowOff>
    </xdr:to>
    <xdr:cxnSp macro="">
      <xdr:nvCxnSpPr>
        <xdr:cNvPr id="26" name="Přímá spojnic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8206014" y="8906137"/>
          <a:ext cx="520700" cy="1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78014</xdr:colOff>
      <xdr:row>47</xdr:row>
      <xdr:rowOff>150757</xdr:rowOff>
    </xdr:from>
    <xdr:to>
      <xdr:col>15</xdr:col>
      <xdr:colOff>408214</xdr:colOff>
      <xdr:row>47</xdr:row>
      <xdr:rowOff>150757</xdr:rowOff>
    </xdr:to>
    <xdr:cxnSp macro="">
      <xdr:nvCxnSpPr>
        <xdr:cNvPr id="27" name="Přímá spojnic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9222014" y="8906137"/>
          <a:ext cx="3302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21</xdr:row>
      <xdr:rowOff>189110</xdr:rowOff>
    </xdr:from>
    <xdr:to>
      <xdr:col>12</xdr:col>
      <xdr:colOff>172686</xdr:colOff>
      <xdr:row>21</xdr:row>
      <xdr:rowOff>189110</xdr:rowOff>
    </xdr:to>
    <xdr:cxnSp macro="">
      <xdr:nvCxnSpPr>
        <xdr:cNvPr id="28" name="Přímá spojnic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844040" y="4105790"/>
          <a:ext cx="5643846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145473</xdr:colOff>
      <xdr:row>22</xdr:row>
      <xdr:rowOff>3463</xdr:rowOff>
    </xdr:from>
    <xdr:to>
      <xdr:col>14</xdr:col>
      <xdr:colOff>217714</xdr:colOff>
      <xdr:row>28</xdr:row>
      <xdr:rowOff>159712</xdr:rowOff>
    </xdr:to>
    <xdr:cxnSp macro="">
      <xdr:nvCxnSpPr>
        <xdr:cNvPr id="29" name="Přímá spojnic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7460673" y="4110643"/>
          <a:ext cx="1291441" cy="1261149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</xdr:colOff>
      <xdr:row>18</xdr:row>
      <xdr:rowOff>163453</xdr:rowOff>
    </xdr:from>
    <xdr:to>
      <xdr:col>15</xdr:col>
      <xdr:colOff>91440</xdr:colOff>
      <xdr:row>18</xdr:row>
      <xdr:rowOff>163453</xdr:rowOff>
    </xdr:to>
    <xdr:cxnSp macro="">
      <xdr:nvCxnSpPr>
        <xdr:cNvPr id="30" name="Přímá spojnic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1851660" y="3531493"/>
          <a:ext cx="7383780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233185</xdr:colOff>
      <xdr:row>18</xdr:row>
      <xdr:rowOff>180109</xdr:rowOff>
    </xdr:from>
    <xdr:to>
      <xdr:col>3</xdr:col>
      <xdr:colOff>233185</xdr:colOff>
      <xdr:row>22</xdr:row>
      <xdr:rowOff>17318</xdr:rowOff>
    </xdr:to>
    <xdr:cxnSp macro="">
      <xdr:nvCxnSpPr>
        <xdr:cNvPr id="31" name="Přímá spojnic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2061985" y="3548149"/>
          <a:ext cx="0" cy="576349"/>
        </a:xfrm>
        <a:prstGeom prst="line">
          <a:avLst/>
        </a:prstGeom>
        <a:ln>
          <a:prstDash val="dash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69991</xdr:colOff>
      <xdr:row>18</xdr:row>
      <xdr:rowOff>177338</xdr:rowOff>
    </xdr:from>
    <xdr:to>
      <xdr:col>3</xdr:col>
      <xdr:colOff>69991</xdr:colOff>
      <xdr:row>22</xdr:row>
      <xdr:rowOff>7620</xdr:rowOff>
    </xdr:to>
    <xdr:cxnSp macro="">
      <xdr:nvCxnSpPr>
        <xdr:cNvPr id="32" name="Přímá spojnic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1898791" y="3545378"/>
          <a:ext cx="0" cy="569422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337457</xdr:colOff>
      <xdr:row>28</xdr:row>
      <xdr:rowOff>165944</xdr:rowOff>
    </xdr:from>
    <xdr:to>
      <xdr:col>15</xdr:col>
      <xdr:colOff>61690</xdr:colOff>
      <xdr:row>28</xdr:row>
      <xdr:rowOff>165944</xdr:rowOff>
    </xdr:to>
    <xdr:cxnSp macro="">
      <xdr:nvCxnSpPr>
        <xdr:cNvPr id="33" name="Přímá spojnic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7652657" y="5378024"/>
          <a:ext cx="1553033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141159</xdr:colOff>
      <xdr:row>21</xdr:row>
      <xdr:rowOff>183244</xdr:rowOff>
    </xdr:from>
    <xdr:to>
      <xdr:col>12</xdr:col>
      <xdr:colOff>141159</xdr:colOff>
      <xdr:row>27</xdr:row>
      <xdr:rowOff>65314</xdr:rowOff>
    </xdr:to>
    <xdr:cxnSp macro="">
      <xdr:nvCxnSpPr>
        <xdr:cNvPr id="34" name="Přímá spojnic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7456359" y="4099924"/>
          <a:ext cx="0" cy="99459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196356</xdr:colOff>
      <xdr:row>20</xdr:row>
      <xdr:rowOff>58593</xdr:rowOff>
    </xdr:from>
    <xdr:to>
      <xdr:col>15</xdr:col>
      <xdr:colOff>196356</xdr:colOff>
      <xdr:row>23</xdr:row>
      <xdr:rowOff>66675</xdr:rowOff>
    </xdr:to>
    <xdr:cxnSp macro="">
      <xdr:nvCxnSpPr>
        <xdr:cNvPr id="35" name="Přímá spojnic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9340356" y="3792393"/>
          <a:ext cx="0" cy="564342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127000</xdr:colOff>
      <xdr:row>60</xdr:row>
      <xdr:rowOff>152925</xdr:rowOff>
    </xdr:to>
    <xdr:pic>
      <xdr:nvPicPr>
        <xdr:cNvPr id="36" name="Picture 286" descr="TOP_VIEW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8"/>
        <a:stretch/>
      </xdr:blipFill>
      <xdr:spPr bwMode="auto">
        <a:xfrm>
          <a:off x="0" y="10241280"/>
          <a:ext cx="3784600" cy="1074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330200</xdr:colOff>
      <xdr:row>54</xdr:row>
      <xdr:rowOff>172720</xdr:rowOff>
    </xdr:from>
    <xdr:to>
      <xdr:col>12</xdr:col>
      <xdr:colOff>86666</xdr:colOff>
      <xdr:row>60</xdr:row>
      <xdr:rowOff>144054</xdr:rowOff>
    </xdr:to>
    <xdr:pic>
      <xdr:nvPicPr>
        <xdr:cNvPr id="37" name="Picture 287" descr="TOP_VIEW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89"/>
        <a:stretch/>
      </xdr:blipFill>
      <xdr:spPr bwMode="auto">
        <a:xfrm>
          <a:off x="3987800" y="10231120"/>
          <a:ext cx="3414066" cy="1076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533400</xdr:colOff>
      <xdr:row>55</xdr:row>
      <xdr:rowOff>0</xdr:rowOff>
    </xdr:from>
    <xdr:to>
      <xdr:col>17</xdr:col>
      <xdr:colOff>0</xdr:colOff>
      <xdr:row>64</xdr:row>
      <xdr:rowOff>168628</xdr:rowOff>
    </xdr:to>
    <xdr:pic>
      <xdr:nvPicPr>
        <xdr:cNvPr id="38" name="Picture 360" descr="Image 21-1 Top View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10241280"/>
          <a:ext cx="2514600" cy="18297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177800</xdr:colOff>
      <xdr:row>58</xdr:row>
      <xdr:rowOff>0</xdr:rowOff>
    </xdr:from>
    <xdr:to>
      <xdr:col>14</xdr:col>
      <xdr:colOff>203200</xdr:colOff>
      <xdr:row>58</xdr:row>
      <xdr:rowOff>0</xdr:rowOff>
    </xdr:to>
    <xdr:cxnSp macro="">
      <xdr:nvCxnSpPr>
        <xdr:cNvPr id="39" name="Přímá spojnic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8102600" y="10797540"/>
          <a:ext cx="63500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80667</xdr:colOff>
      <xdr:row>54</xdr:row>
      <xdr:rowOff>112644</xdr:rowOff>
    </xdr:from>
    <xdr:to>
      <xdr:col>1</xdr:col>
      <xdr:colOff>80667</xdr:colOff>
      <xdr:row>55</xdr:row>
      <xdr:rowOff>165652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90267" y="10171044"/>
          <a:ext cx="0" cy="235888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120547</xdr:colOff>
      <xdr:row>54</xdr:row>
      <xdr:rowOff>106018</xdr:rowOff>
    </xdr:from>
    <xdr:to>
      <xdr:col>0</xdr:col>
      <xdr:colOff>120547</xdr:colOff>
      <xdr:row>57</xdr:row>
      <xdr:rowOff>91764</xdr:rowOff>
    </xdr:to>
    <xdr:cxnSp macro="">
      <xdr:nvCxnSpPr>
        <xdr:cNvPr id="41" name="Přímá spojnic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120547" y="10164418"/>
          <a:ext cx="0" cy="534386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119269</xdr:colOff>
      <xdr:row>55</xdr:row>
      <xdr:rowOff>9052</xdr:rowOff>
    </xdr:from>
    <xdr:to>
      <xdr:col>1</xdr:col>
      <xdr:colOff>79513</xdr:colOff>
      <xdr:row>55</xdr:row>
      <xdr:rowOff>9052</xdr:rowOff>
    </xdr:to>
    <xdr:cxnSp macro="">
      <xdr:nvCxnSpPr>
        <xdr:cNvPr id="42" name="Přímá spojnic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119269" y="10250332"/>
          <a:ext cx="5698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557661</xdr:colOff>
      <xdr:row>54</xdr:row>
      <xdr:rowOff>112646</xdr:rowOff>
    </xdr:from>
    <xdr:to>
      <xdr:col>11</xdr:col>
      <xdr:colOff>557661</xdr:colOff>
      <xdr:row>57</xdr:row>
      <xdr:rowOff>86140</xdr:rowOff>
    </xdr:to>
    <xdr:cxnSp macro="">
      <xdr:nvCxnSpPr>
        <xdr:cNvPr id="43" name="Přímá spojnic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7263261" y="10171046"/>
          <a:ext cx="0" cy="522134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597541</xdr:colOff>
      <xdr:row>54</xdr:row>
      <xdr:rowOff>106020</xdr:rowOff>
    </xdr:from>
    <xdr:to>
      <xdr:col>10</xdr:col>
      <xdr:colOff>597541</xdr:colOff>
      <xdr:row>55</xdr:row>
      <xdr:rowOff>152400</xdr:rowOff>
    </xdr:to>
    <xdr:cxnSp macro="">
      <xdr:nvCxnSpPr>
        <xdr:cNvPr id="44" name="Přímá spojnic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6693541" y="10164420"/>
          <a:ext cx="0" cy="22926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596263</xdr:colOff>
      <xdr:row>55</xdr:row>
      <xdr:rowOff>9054</xdr:rowOff>
    </xdr:from>
    <xdr:to>
      <xdr:col>11</xdr:col>
      <xdr:colOff>556507</xdr:colOff>
      <xdr:row>55</xdr:row>
      <xdr:rowOff>9054</xdr:rowOff>
    </xdr:to>
    <xdr:cxnSp macro="">
      <xdr:nvCxnSpPr>
        <xdr:cNvPr id="45" name="Přímá spojnic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6692263" y="10250334"/>
          <a:ext cx="5698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393709</xdr:colOff>
      <xdr:row>28</xdr:row>
      <xdr:rowOff>167969</xdr:rowOff>
    </xdr:from>
    <xdr:to>
      <xdr:col>12</xdr:col>
      <xdr:colOff>393709</xdr:colOff>
      <xdr:row>50</xdr:row>
      <xdr:rowOff>76200</xdr:rowOff>
    </xdr:to>
    <xdr:cxnSp macro="">
      <xdr:nvCxnSpPr>
        <xdr:cNvPr id="46" name="Přímá spojnic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7708909" y="5380049"/>
          <a:ext cx="0" cy="401541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148046</xdr:colOff>
      <xdr:row>27</xdr:row>
      <xdr:rowOff>4825</xdr:rowOff>
    </xdr:from>
    <xdr:to>
      <xdr:col>15</xdr:col>
      <xdr:colOff>61690</xdr:colOff>
      <xdr:row>27</xdr:row>
      <xdr:rowOff>4826</xdr:rowOff>
    </xdr:to>
    <xdr:cxnSp macro="">
      <xdr:nvCxnSpPr>
        <xdr:cNvPr id="47" name="Přímá spojnic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7463246" y="5034025"/>
          <a:ext cx="1742444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84397</xdr:colOff>
      <xdr:row>55</xdr:row>
      <xdr:rowOff>10755</xdr:rowOff>
    </xdr:from>
    <xdr:to>
      <xdr:col>10</xdr:col>
      <xdr:colOff>596537</xdr:colOff>
      <xdr:row>55</xdr:row>
      <xdr:rowOff>10755</xdr:rowOff>
    </xdr:to>
    <xdr:cxnSp macro="">
      <xdr:nvCxnSpPr>
        <xdr:cNvPr id="48" name="Přímá spojnic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693997" y="10252035"/>
          <a:ext cx="599854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57150</xdr:colOff>
      <xdr:row>61</xdr:row>
      <xdr:rowOff>28575</xdr:rowOff>
    </xdr:from>
    <xdr:to>
      <xdr:col>21</xdr:col>
      <xdr:colOff>542925</xdr:colOff>
      <xdr:row>66</xdr:row>
      <xdr:rowOff>170825</xdr:rowOff>
    </xdr:to>
    <xdr:pic>
      <xdr:nvPicPr>
        <xdr:cNvPr id="49" name="Obrázek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36" t="8000" r="5512" b="7201"/>
        <a:stretch/>
      </xdr:blipFill>
      <xdr:spPr bwMode="auto">
        <a:xfrm>
          <a:off x="12249150" y="11382375"/>
          <a:ext cx="1095375" cy="105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165463</xdr:colOff>
      <xdr:row>16</xdr:row>
      <xdr:rowOff>143691</xdr:rowOff>
    </xdr:from>
    <xdr:to>
      <xdr:col>15</xdr:col>
      <xdr:colOff>101659</xdr:colOff>
      <xdr:row>19</xdr:row>
      <xdr:rowOff>105556</xdr:rowOff>
    </xdr:to>
    <xdr:pic>
      <xdr:nvPicPr>
        <xdr:cNvPr id="50" name="Obrázek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38718"/>
        <a:stretch/>
      </xdr:blipFill>
      <xdr:spPr>
        <a:xfrm>
          <a:off x="775063" y="3145971"/>
          <a:ext cx="8470596" cy="510505"/>
        </a:xfrm>
        <a:prstGeom prst="rect">
          <a:avLst/>
        </a:prstGeom>
      </xdr:spPr>
    </xdr:pic>
    <xdr:clientData/>
  </xdr:twoCellAnchor>
  <xdr:twoCellAnchor>
    <xdr:from>
      <xdr:col>11</xdr:col>
      <xdr:colOff>4525</xdr:colOff>
      <xdr:row>13</xdr:row>
      <xdr:rowOff>128953</xdr:rowOff>
    </xdr:from>
    <xdr:to>
      <xdr:col>11</xdr:col>
      <xdr:colOff>4525</xdr:colOff>
      <xdr:row>17</xdr:row>
      <xdr:rowOff>120162</xdr:rowOff>
    </xdr:to>
    <xdr:cxnSp macro="">
      <xdr:nvCxnSpPr>
        <xdr:cNvPr id="51" name="Přímá spojnic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6710125" y="2582593"/>
          <a:ext cx="0" cy="722729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6275</xdr:colOff>
      <xdr:row>14</xdr:row>
      <xdr:rowOff>72232</xdr:rowOff>
    </xdr:from>
    <xdr:to>
      <xdr:col>15</xdr:col>
      <xdr:colOff>90103</xdr:colOff>
      <xdr:row>14</xdr:row>
      <xdr:rowOff>72233</xdr:rowOff>
    </xdr:to>
    <xdr:cxnSp macro="">
      <xdr:nvCxnSpPr>
        <xdr:cNvPr id="52" name="Přímá spojnic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6711875" y="2708752"/>
          <a:ext cx="2522228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584554</xdr:colOff>
      <xdr:row>14</xdr:row>
      <xdr:rowOff>139446</xdr:rowOff>
    </xdr:from>
    <xdr:to>
      <xdr:col>3</xdr:col>
      <xdr:colOff>584554</xdr:colOff>
      <xdr:row>19</xdr:row>
      <xdr:rowOff>105228</xdr:rowOff>
    </xdr:to>
    <xdr:cxnSp macro="">
      <xdr:nvCxnSpPr>
        <xdr:cNvPr id="53" name="Přímá spojnic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2413354" y="2775966"/>
          <a:ext cx="0" cy="880182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583578</xdr:colOff>
      <xdr:row>15</xdr:row>
      <xdr:rowOff>77560</xdr:rowOff>
    </xdr:from>
    <xdr:to>
      <xdr:col>5</xdr:col>
      <xdr:colOff>388257</xdr:colOff>
      <xdr:row>15</xdr:row>
      <xdr:rowOff>77560</xdr:rowOff>
    </xdr:to>
    <xdr:cxnSp macro="">
      <xdr:nvCxnSpPr>
        <xdr:cNvPr id="54" name="Přímá spojnic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2412378" y="2896960"/>
          <a:ext cx="1023879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388714</xdr:colOff>
      <xdr:row>14</xdr:row>
      <xdr:rowOff>139428</xdr:rowOff>
    </xdr:from>
    <xdr:to>
      <xdr:col>5</xdr:col>
      <xdr:colOff>388714</xdr:colOff>
      <xdr:row>16</xdr:row>
      <xdr:rowOff>137886</xdr:rowOff>
    </xdr:to>
    <xdr:cxnSp macro="">
      <xdr:nvCxnSpPr>
        <xdr:cNvPr id="55" name="Přímá spojnic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3436714" y="2775948"/>
          <a:ext cx="0" cy="364218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or-documents.com/en/guardy-installation-drawing-lhr-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"/>
  <dimension ref="A1:AA68"/>
  <sheetViews>
    <sheetView showGridLines="0" tabSelected="1" view="pageBreakPreview" zoomScaleNormal="50" zoomScaleSheetLayoutView="100" workbookViewId="0">
      <selection activeCell="S14" sqref="S14"/>
    </sheetView>
  </sheetViews>
  <sheetFormatPr baseColWidth="10" defaultColWidth="9.140625" defaultRowHeight="15" x14ac:dyDescent="0.25"/>
  <cols>
    <col min="1" max="1" width="8.85546875" customWidth="1"/>
    <col min="14" max="14" width="8.85546875" customWidth="1"/>
    <col min="16" max="23" width="8.85546875" customWidth="1"/>
    <col min="26" max="27" width="8.85546875" customWidth="1"/>
  </cols>
  <sheetData>
    <row r="1" spans="1:27" ht="19.5" thickBot="1" x14ac:dyDescent="0.35">
      <c r="G1" s="1"/>
      <c r="H1" s="1"/>
      <c r="I1" s="1"/>
      <c r="J1" s="1"/>
      <c r="K1" s="1"/>
    </row>
    <row r="2" spans="1:27" x14ac:dyDescent="0.25">
      <c r="A2" s="2" t="s">
        <v>0</v>
      </c>
      <c r="B2" s="3"/>
      <c r="C2" s="3"/>
      <c r="D2" s="4"/>
      <c r="I2" s="5" t="str">
        <f>Translation!C37</f>
        <v>Lichte Breite (W) [mm]</v>
      </c>
      <c r="J2" s="127">
        <v>5000</v>
      </c>
      <c r="R2" s="5" t="str">
        <f>Translation!C13</f>
        <v>Führungstiefe (D) [mm]</v>
      </c>
      <c r="S2" s="125">
        <f>IF(J4="","",VLOOKUP(J4,Selections!E17:F23,2,TRUE))</f>
        <v>2820</v>
      </c>
      <c r="Y2" s="5" t="str">
        <f>Translation!C43</f>
        <v>Der Typ des Antriebs</v>
      </c>
      <c r="Z2" s="129"/>
    </row>
    <row r="3" spans="1:27" ht="14.45" customHeight="1" thickBot="1" x14ac:dyDescent="0.3">
      <c r="A3" s="6" t="s">
        <v>1</v>
      </c>
      <c r="B3" s="7"/>
      <c r="C3" s="7"/>
      <c r="D3" s="8"/>
      <c r="J3" s="128"/>
      <c r="K3" s="131" t="str">
        <f>IF(J2/1000*J4/1000&lt;14,"","W x H max. 14m2")</f>
        <v/>
      </c>
      <c r="L3" s="132"/>
      <c r="S3" s="126"/>
      <c r="Z3" s="130"/>
    </row>
    <row r="4" spans="1:27" ht="14.45" customHeight="1" x14ac:dyDescent="0.25">
      <c r="A4" s="6" t="s">
        <v>2</v>
      </c>
      <c r="B4" s="7"/>
      <c r="C4" s="7"/>
      <c r="D4" s="127" t="s">
        <v>43</v>
      </c>
      <c r="I4" s="5" t="str">
        <f>Translation!C27</f>
        <v>Höhe der Bauöffnung (H) [mm]</v>
      </c>
      <c r="J4" s="127">
        <v>2125</v>
      </c>
      <c r="K4" s="131"/>
      <c r="L4" s="132"/>
      <c r="R4" s="5" t="str">
        <f>Translation!C17</f>
        <v>Untere Kante der Horizontalführung (K) [mm]</v>
      </c>
      <c r="S4" s="125">
        <f>IF(J4="","",J4-47)</f>
        <v>2078</v>
      </c>
      <c r="Y4" s="5" t="str">
        <f>Translation!C15</f>
        <v>Antriebslänge (X) [mm]</v>
      </c>
      <c r="Z4" s="125" t="str">
        <f>IF(Z2="","",IF(Z2=Selections!K17,VLOOKUP(J4,Selections!K18:L19,2,TRUE),IF(Z2=Selections!K21,VLOOKUP(J4,Selections!K22:L23,2,TRUE),"Error")))</f>
        <v/>
      </c>
    </row>
    <row r="5" spans="1:27" ht="15" customHeight="1" thickBot="1" x14ac:dyDescent="0.3">
      <c r="A5" s="6" t="s">
        <v>4</v>
      </c>
      <c r="B5" s="7"/>
      <c r="C5" s="7"/>
      <c r="D5" s="128"/>
      <c r="J5" s="133"/>
      <c r="S5" s="126"/>
      <c r="Z5" s="126"/>
    </row>
    <row r="6" spans="1:27" ht="14.45" customHeight="1" x14ac:dyDescent="0.25">
      <c r="A6" s="6" t="s">
        <v>5</v>
      </c>
      <c r="B6" s="7"/>
      <c r="C6" s="7"/>
      <c r="D6" s="8"/>
      <c r="I6" s="5" t="str">
        <f>Translation!C38</f>
        <v>Bedienung</v>
      </c>
      <c r="J6" s="121" t="s">
        <v>269</v>
      </c>
      <c r="K6" s="122"/>
      <c r="R6" s="5" t="str">
        <f>Translation!C11</f>
        <v>Untere Kante des vollständig geöffneten Tors (CPH) [mm]</v>
      </c>
      <c r="S6" s="125">
        <f>IF(J6="","",IF(J6=Selections!C17,'LHR-C'!J4-75,IF(J6=Selections!C18,'LHR-C'!J4-0,"Error")))</f>
        <v>2125</v>
      </c>
      <c r="Y6" s="5" t="str">
        <f>Translation!C19</f>
        <v>Verankerungspunkt der Antriebsleiste (E1) [mm]</v>
      </c>
      <c r="Z6" s="125" t="str">
        <f>IF(Z2="","",1400)</f>
        <v/>
      </c>
    </row>
    <row r="7" spans="1:27" ht="15" customHeight="1" thickBot="1" x14ac:dyDescent="0.3">
      <c r="A7" s="9" t="s">
        <v>6</v>
      </c>
      <c r="B7" s="10"/>
      <c r="C7" s="10"/>
      <c r="D7" s="11"/>
      <c r="J7" s="123"/>
      <c r="K7" s="124"/>
      <c r="S7" s="126"/>
      <c r="Z7" s="126"/>
    </row>
    <row r="8" spans="1:27" ht="14.45" customHeight="1" x14ac:dyDescent="0.25">
      <c r="I8" s="5" t="str">
        <f>Translation!C45</f>
        <v>Die Unterbringung der Oberdichtung</v>
      </c>
      <c r="J8" s="121" t="s">
        <v>304</v>
      </c>
      <c r="K8" s="122"/>
      <c r="R8" s="5" t="str">
        <f>Translation!C42</f>
        <v>Freiraum über Sturz (F) [mm]</v>
      </c>
      <c r="S8" s="125">
        <f>IF(OR(J6="",J8=""),"",Selections!I21+Selections!I22)</f>
        <v>125</v>
      </c>
      <c r="Y8" s="5" t="str">
        <f>Translation!C21</f>
        <v>Verankerungspunkt des Antriebes (E2) [mm]</v>
      </c>
      <c r="Z8" s="125" t="str">
        <f>IF(Z2="","",IF(Z2=Selections!N17,VLOOKUP(J4,Selections!N18:O19,2,TRUE),IF(Z2=Selections!N21,VLOOKUP(J4,Selections!N22:O23,2,TRUE),"Error")))</f>
        <v/>
      </c>
    </row>
    <row r="9" spans="1:27" ht="14.45" customHeight="1" thickBot="1" x14ac:dyDescent="0.3">
      <c r="J9" s="123"/>
      <c r="K9" s="124"/>
      <c r="S9" s="126"/>
      <c r="Z9" s="126"/>
    </row>
    <row r="10" spans="1:27" ht="15" customHeight="1" x14ac:dyDescent="0.25"/>
    <row r="11" spans="1:27" x14ac:dyDescent="0.25">
      <c r="A11" s="119" t="s">
        <v>7</v>
      </c>
      <c r="B11" s="119"/>
      <c r="H11" t="str">
        <f>IF(OR(J4="",Z2=""),"X","X = "&amp;Z4)</f>
        <v>X</v>
      </c>
    </row>
    <row r="12" spans="1:27" x14ac:dyDescent="0.25">
      <c r="H12" s="120" t="str">
        <f>IF(OR(J4="",Z2=""),"E2","E2 = "&amp;Z8)</f>
        <v>E2</v>
      </c>
    </row>
    <row r="13" spans="1:27" x14ac:dyDescent="0.25">
      <c r="A13" s="12"/>
      <c r="H13" s="120"/>
      <c r="I13" s="120" t="str">
        <f>IF(J4="","D","D = "&amp;S2)</f>
        <v>D = 2820</v>
      </c>
    </row>
    <row r="14" spans="1:27" ht="14.45" customHeight="1" x14ac:dyDescent="0.25">
      <c r="I14" s="120"/>
      <c r="M14" s="120" t="str">
        <f>IF(OR(J4="",Z2=""),"E1","E1 = "&amp;Z6)</f>
        <v>E1</v>
      </c>
    </row>
    <row r="15" spans="1:27" ht="14.45" customHeight="1" x14ac:dyDescent="0.25">
      <c r="E15" s="120" t="s">
        <v>8</v>
      </c>
      <c r="F15" s="120"/>
      <c r="M15" s="120"/>
      <c r="N15" s="120" t="str">
        <f>IF(OR(J2&gt;3000,J4&gt;2500),"Y2 = 800","Y2")</f>
        <v>Y2 = 800</v>
      </c>
      <c r="W15" s="13"/>
      <c r="X15" s="13"/>
      <c r="Y15" s="13"/>
      <c r="AA15" s="13"/>
    </row>
    <row r="16" spans="1:27" ht="14.45" customHeight="1" x14ac:dyDescent="0.25">
      <c r="E16" s="120"/>
      <c r="F16" s="120"/>
      <c r="M16" s="12"/>
      <c r="N16" s="120"/>
      <c r="W16" s="14"/>
      <c r="X16" s="14"/>
      <c r="Y16" s="14"/>
      <c r="Z16" s="14"/>
      <c r="AA16" s="14"/>
    </row>
    <row r="17" spans="1:27" ht="14.45" customHeight="1" x14ac:dyDescent="0.25">
      <c r="W17" s="14"/>
      <c r="X17" s="14"/>
      <c r="Y17" s="14"/>
      <c r="Z17" s="14"/>
      <c r="AA17" s="14"/>
    </row>
    <row r="18" spans="1:27" ht="14.45" customHeight="1" x14ac:dyDescent="0.25">
      <c r="W18" s="14"/>
      <c r="X18" s="14"/>
      <c r="Y18" s="14"/>
      <c r="Z18" s="14"/>
      <c r="AA18" s="14"/>
    </row>
    <row r="19" spans="1:27" ht="14.45" customHeight="1" x14ac:dyDescent="0.25">
      <c r="T19" s="5" t="s">
        <v>9</v>
      </c>
      <c r="U19" s="15" t="str">
        <f>Translation!C36</f>
        <v>Lichte Breite [mm]</v>
      </c>
      <c r="W19" s="14"/>
      <c r="X19" s="14"/>
      <c r="Y19" s="14"/>
      <c r="Z19" s="14"/>
      <c r="AA19" s="14"/>
    </row>
    <row r="20" spans="1:27" ht="14.45" customHeight="1" x14ac:dyDescent="0.25">
      <c r="T20" s="5" t="s">
        <v>10</v>
      </c>
      <c r="U20" s="15" t="str">
        <f>Translation!C26</f>
        <v>Höhe der Bauöffnung [mm]</v>
      </c>
      <c r="W20" s="14"/>
      <c r="X20" s="14"/>
      <c r="Y20" s="14"/>
      <c r="Z20" s="14"/>
      <c r="AA20" s="14"/>
    </row>
    <row r="21" spans="1:27" ht="14.45" customHeight="1" x14ac:dyDescent="0.25">
      <c r="B21" s="16"/>
      <c r="C21" s="16">
        <v>212</v>
      </c>
      <c r="T21" s="5" t="s">
        <v>11</v>
      </c>
      <c r="U21" s="15" t="str">
        <f>Translation!C12</f>
        <v>Führungstiefe [mm]</v>
      </c>
      <c r="W21" s="14"/>
      <c r="X21" s="14"/>
      <c r="Y21" s="14"/>
      <c r="Z21" s="14"/>
      <c r="AA21" s="14"/>
    </row>
    <row r="22" spans="1:27" ht="15" customHeight="1" x14ac:dyDescent="0.25">
      <c r="C22" s="17"/>
      <c r="T22" s="5" t="s">
        <v>12</v>
      </c>
      <c r="U22" s="15" t="str">
        <f>Translation!C16</f>
        <v>Untere Kante der Horizontalführung [mm]</v>
      </c>
      <c r="W22" s="13"/>
      <c r="X22" s="13"/>
      <c r="Y22" s="13"/>
      <c r="Z22" s="13"/>
      <c r="AA22" s="13"/>
    </row>
    <row r="23" spans="1:27" ht="14.45" customHeight="1" x14ac:dyDescent="0.25">
      <c r="C23" s="18"/>
      <c r="P23" s="19" t="s">
        <v>10</v>
      </c>
      <c r="T23" s="5" t="s">
        <v>13</v>
      </c>
      <c r="U23" s="15" t="str">
        <f>Translation!C41</f>
        <v>Freiraum über Sturz [mm]</v>
      </c>
      <c r="W23" s="13"/>
      <c r="X23" s="13"/>
      <c r="Y23" s="13"/>
      <c r="Z23" s="13"/>
      <c r="AA23" s="13"/>
    </row>
    <row r="24" spans="1:27" ht="15" customHeight="1" x14ac:dyDescent="0.25">
      <c r="A24" s="7"/>
      <c r="C24" s="20" t="str">
        <f>Translation!C34</f>
        <v>Steckdose CEE 7/3 oder CEE 7/5</v>
      </c>
      <c r="T24" s="5" t="s">
        <v>14</v>
      </c>
      <c r="U24" s="15" t="str">
        <f>Translation!C8</f>
        <v>Deckenhöhe [mm]</v>
      </c>
    </row>
    <row r="25" spans="1:27" x14ac:dyDescent="0.25">
      <c r="A25" s="7"/>
      <c r="C25" s="20" t="str">
        <f>Translation!C35</f>
        <v>230V, 50Hz, Sicherung 6 A (10 A) mit Schutzschalter</v>
      </c>
      <c r="T25" s="21" t="s">
        <v>15</v>
      </c>
      <c r="U25" s="15" t="str">
        <f>Translation!C10</f>
        <v>Untere Kante des vollständig geöffneten Tors [mm]</v>
      </c>
    </row>
    <row r="26" spans="1:27" x14ac:dyDescent="0.25">
      <c r="A26" s="7"/>
      <c r="B26" s="7"/>
      <c r="T26" s="21" t="s">
        <v>16</v>
      </c>
      <c r="U26" t="str">
        <f>Translation!C22</f>
        <v>Verankerungspunkt</v>
      </c>
    </row>
    <row r="27" spans="1:27" x14ac:dyDescent="0.25">
      <c r="M27">
        <v>500</v>
      </c>
      <c r="T27" s="21" t="s">
        <v>17</v>
      </c>
      <c r="U27" t="str">
        <f>Translation!C23</f>
        <v>Verankerungspunkt (W&gt;3000 oder H&gt;2500)</v>
      </c>
    </row>
    <row r="28" spans="1:27" x14ac:dyDescent="0.25">
      <c r="T28" s="21" t="s">
        <v>18</v>
      </c>
      <c r="U28" s="15" t="str">
        <f>Translation!C14</f>
        <v>Antriebslänge [mm]</v>
      </c>
    </row>
    <row r="29" spans="1:27" x14ac:dyDescent="0.25">
      <c r="N29" s="18"/>
      <c r="T29" s="21" t="s">
        <v>19</v>
      </c>
      <c r="U29" s="15" t="str">
        <f>Translation!C18</f>
        <v>Verankerungspunkt der Antriebsleiste [mm]</v>
      </c>
    </row>
    <row r="30" spans="1:27" x14ac:dyDescent="0.25">
      <c r="T30" s="21" t="s">
        <v>20</v>
      </c>
      <c r="U30" s="15" t="str">
        <f>Translation!C20</f>
        <v>Verankerungspunkt des Antriebes [mm]</v>
      </c>
    </row>
    <row r="31" spans="1:27" x14ac:dyDescent="0.25">
      <c r="T31" s="21" t="s">
        <v>21</v>
      </c>
      <c r="U31" s="15" t="str">
        <f>Translation!C33</f>
        <v>Die Position der Steckdose ca.250 mm</v>
      </c>
    </row>
    <row r="32" spans="1:27" ht="14.45" customHeight="1" x14ac:dyDescent="0.25">
      <c r="T32" s="21" t="s">
        <v>22</v>
      </c>
      <c r="U32" s="111" t="str">
        <f>Translation!C50</f>
        <v>Durchfahrtshöhe kann bei der Montage der Zubehörteile an die Innenseite des Torflügels reduziert werden (betrifft Handgriff, Versteifungen, etc.)</v>
      </c>
      <c r="V32" s="111"/>
      <c r="W32" s="111"/>
      <c r="X32" s="111"/>
      <c r="Y32" s="111"/>
      <c r="Z32" s="111"/>
      <c r="AA32" s="111"/>
    </row>
    <row r="33" spans="7:27" x14ac:dyDescent="0.25">
      <c r="P33" s="112" t="str">
        <f>IF(OR(J4="",S6=""),"CPH","CPH = "&amp;S6)</f>
        <v>CPH = 2125</v>
      </c>
      <c r="Q33" s="113" t="str">
        <f>IF(OR(J4="",S8=""),"CEL = H + 90","CEL = "&amp;J4+S8)</f>
        <v>CEL = 2250</v>
      </c>
      <c r="T33" s="22"/>
      <c r="U33" s="111"/>
      <c r="V33" s="111"/>
      <c r="W33" s="111"/>
      <c r="X33" s="111"/>
      <c r="Y33" s="111"/>
      <c r="Z33" s="111"/>
      <c r="AA33" s="111"/>
    </row>
    <row r="34" spans="7:27" ht="14.45" customHeight="1" x14ac:dyDescent="0.25">
      <c r="G34" s="113">
        <f>IF(J4="","H - 87",J4-87)</f>
        <v>2038</v>
      </c>
      <c r="L34" s="113" t="str">
        <f>IF(J4="","K = H - 47","K = "&amp;S4)</f>
        <v>K = 2078</v>
      </c>
      <c r="M34" s="113">
        <f>IF(J4="","H - 415",J4-415)</f>
        <v>1710</v>
      </c>
      <c r="P34" s="112"/>
      <c r="Q34" s="113"/>
      <c r="T34" s="22"/>
      <c r="U34" s="111"/>
      <c r="V34" s="111"/>
      <c r="W34" s="111"/>
      <c r="X34" s="111"/>
      <c r="Y34" s="111"/>
      <c r="Z34" s="111"/>
      <c r="AA34" s="111"/>
    </row>
    <row r="35" spans="7:27" ht="17.25" x14ac:dyDescent="0.25">
      <c r="G35" s="113"/>
      <c r="L35" s="113"/>
      <c r="M35" s="113"/>
      <c r="P35" s="112"/>
      <c r="Q35" s="113"/>
      <c r="T35" s="21" t="s">
        <v>23</v>
      </c>
      <c r="U35" t="str">
        <f>Translation!C51</f>
        <v>bei der Verwendung der Toorflügelsperre</v>
      </c>
    </row>
    <row r="36" spans="7:27" ht="15.75" thickBot="1" x14ac:dyDescent="0.3">
      <c r="G36" s="113"/>
      <c r="L36" s="113"/>
      <c r="M36" s="113"/>
      <c r="P36" s="112"/>
      <c r="Q36" s="113"/>
    </row>
    <row r="37" spans="7:27" x14ac:dyDescent="0.25">
      <c r="G37" s="113"/>
      <c r="L37" s="113"/>
      <c r="M37" s="113"/>
      <c r="P37" s="112"/>
      <c r="Q37" s="113"/>
      <c r="S37" s="90" t="s">
        <v>10</v>
      </c>
      <c r="T37" s="91"/>
      <c r="U37" s="114" t="s">
        <v>11</v>
      </c>
      <c r="V37" s="116" t="s">
        <v>12</v>
      </c>
      <c r="W37" s="97" t="str">
        <f>Translation!C6</f>
        <v>Tor ohne Motor</v>
      </c>
      <c r="X37" s="118"/>
      <c r="Y37" s="98"/>
      <c r="Z37" s="97" t="str">
        <f>Translation!C7</f>
        <v>Tor mit Motor</v>
      </c>
      <c r="AA37" s="98"/>
    </row>
    <row r="38" spans="7:27" ht="18" thickBot="1" x14ac:dyDescent="0.3">
      <c r="O38" s="5"/>
      <c r="P38" s="5"/>
      <c r="S38" s="23" t="s">
        <v>24</v>
      </c>
      <c r="T38" s="24" t="s">
        <v>25</v>
      </c>
      <c r="U38" s="115"/>
      <c r="V38" s="117"/>
      <c r="W38" s="25" t="s">
        <v>26</v>
      </c>
      <c r="X38" s="26" t="s">
        <v>27</v>
      </c>
      <c r="Y38" s="27" t="s">
        <v>28</v>
      </c>
      <c r="Z38" s="25" t="str">
        <f>W38</f>
        <v>min. CEL</v>
      </c>
      <c r="AA38" s="27" t="s">
        <v>27</v>
      </c>
    </row>
    <row r="39" spans="7:27" x14ac:dyDescent="0.25">
      <c r="K39" s="12"/>
      <c r="S39" s="28"/>
      <c r="T39" s="29">
        <v>2000</v>
      </c>
      <c r="U39" s="30">
        <f t="shared" ref="U39:U45" si="0">T39+575+120</f>
        <v>2695</v>
      </c>
      <c r="V39" s="99" t="s">
        <v>29</v>
      </c>
      <c r="W39" s="102" t="s">
        <v>30</v>
      </c>
      <c r="X39" s="105" t="s">
        <v>31</v>
      </c>
      <c r="Y39" s="108" t="s">
        <v>10</v>
      </c>
      <c r="Z39" s="102" t="s">
        <v>32</v>
      </c>
      <c r="AA39" s="108" t="s">
        <v>10</v>
      </c>
    </row>
    <row r="40" spans="7:27" x14ac:dyDescent="0.25">
      <c r="S40" s="31">
        <f>T39+1</f>
        <v>2001</v>
      </c>
      <c r="T40" s="32">
        <v>2125</v>
      </c>
      <c r="U40" s="33">
        <f t="shared" si="0"/>
        <v>2820</v>
      </c>
      <c r="V40" s="100"/>
      <c r="W40" s="103"/>
      <c r="X40" s="106"/>
      <c r="Y40" s="109"/>
      <c r="Z40" s="103"/>
      <c r="AA40" s="109"/>
    </row>
    <row r="41" spans="7:27" x14ac:dyDescent="0.25">
      <c r="S41" s="31">
        <f t="shared" ref="S41:S45" si="1">T40+1</f>
        <v>2126</v>
      </c>
      <c r="T41" s="32">
        <v>2250</v>
      </c>
      <c r="U41" s="33">
        <f t="shared" si="0"/>
        <v>2945</v>
      </c>
      <c r="V41" s="100"/>
      <c r="W41" s="103"/>
      <c r="X41" s="106"/>
      <c r="Y41" s="109"/>
      <c r="Z41" s="103"/>
      <c r="AA41" s="109"/>
    </row>
    <row r="42" spans="7:27" x14ac:dyDescent="0.25">
      <c r="S42" s="31">
        <f t="shared" si="1"/>
        <v>2251</v>
      </c>
      <c r="T42" s="32">
        <v>2375</v>
      </c>
      <c r="U42" s="33">
        <f t="shared" si="0"/>
        <v>3070</v>
      </c>
      <c r="V42" s="100"/>
      <c r="W42" s="103"/>
      <c r="X42" s="106"/>
      <c r="Y42" s="109"/>
      <c r="Z42" s="103"/>
      <c r="AA42" s="109"/>
    </row>
    <row r="43" spans="7:27" x14ac:dyDescent="0.25">
      <c r="S43" s="31">
        <f t="shared" si="1"/>
        <v>2376</v>
      </c>
      <c r="T43" s="32">
        <v>2500</v>
      </c>
      <c r="U43" s="33">
        <f t="shared" si="0"/>
        <v>3195</v>
      </c>
      <c r="V43" s="100"/>
      <c r="W43" s="103"/>
      <c r="X43" s="106"/>
      <c r="Y43" s="109"/>
      <c r="Z43" s="103"/>
      <c r="AA43" s="109"/>
    </row>
    <row r="44" spans="7:27" x14ac:dyDescent="0.25">
      <c r="S44" s="31">
        <f t="shared" si="1"/>
        <v>2501</v>
      </c>
      <c r="T44" s="32">
        <v>2750</v>
      </c>
      <c r="U44" s="33">
        <f t="shared" si="0"/>
        <v>3445</v>
      </c>
      <c r="V44" s="100"/>
      <c r="W44" s="103"/>
      <c r="X44" s="106"/>
      <c r="Y44" s="109"/>
      <c r="Z44" s="103"/>
      <c r="AA44" s="109"/>
    </row>
    <row r="45" spans="7:27" ht="15.75" thickBot="1" x14ac:dyDescent="0.3">
      <c r="S45" s="34">
        <f t="shared" si="1"/>
        <v>2751</v>
      </c>
      <c r="T45" s="35">
        <v>3000</v>
      </c>
      <c r="U45" s="36">
        <f t="shared" si="0"/>
        <v>3695</v>
      </c>
      <c r="V45" s="101"/>
      <c r="W45" s="104"/>
      <c r="X45" s="107"/>
      <c r="Y45" s="110"/>
      <c r="Z45" s="104"/>
      <c r="AA45" s="110"/>
    </row>
    <row r="47" spans="7:27" x14ac:dyDescent="0.25">
      <c r="Y47" s="5"/>
    </row>
    <row r="48" spans="7:27" ht="15.75" thickBot="1" x14ac:dyDescent="0.3">
      <c r="N48">
        <v>150</v>
      </c>
      <c r="T48" s="5"/>
      <c r="Y48" s="37"/>
    </row>
    <row r="49" spans="1:27" ht="15.75" thickBot="1" x14ac:dyDescent="0.3">
      <c r="S49" s="87" t="str">
        <f>Translation!C44</f>
        <v>Die Information über den Antrieb</v>
      </c>
      <c r="T49" s="88"/>
      <c r="U49" s="88"/>
      <c r="V49" s="88"/>
      <c r="W49" s="88"/>
      <c r="X49" s="88"/>
      <c r="Y49" s="88"/>
      <c r="Z49" s="89"/>
    </row>
    <row r="50" spans="1:27" x14ac:dyDescent="0.25">
      <c r="S50" s="90" t="s">
        <v>10</v>
      </c>
      <c r="T50" s="91"/>
      <c r="U50" s="90" t="s">
        <v>18</v>
      </c>
      <c r="V50" s="91"/>
      <c r="W50" s="90" t="s">
        <v>19</v>
      </c>
      <c r="X50" s="91"/>
      <c r="Y50" s="90" t="s">
        <v>20</v>
      </c>
      <c r="Z50" s="91"/>
    </row>
    <row r="51" spans="1:27" ht="15.75" thickBot="1" x14ac:dyDescent="0.3">
      <c r="S51" s="23" t="s">
        <v>24</v>
      </c>
      <c r="T51" s="24" t="s">
        <v>25</v>
      </c>
      <c r="U51" s="23" t="s">
        <v>33</v>
      </c>
      <c r="V51" s="24" t="s">
        <v>34</v>
      </c>
      <c r="W51" s="23" t="str">
        <f>U51</f>
        <v>Black</v>
      </c>
      <c r="X51" s="38" t="str">
        <f>V51</f>
        <v>RUN 600</v>
      </c>
      <c r="Y51" s="23" t="str">
        <f>W51</f>
        <v>Black</v>
      </c>
      <c r="Z51" s="38" t="str">
        <f>X51</f>
        <v>RUN 600</v>
      </c>
    </row>
    <row r="52" spans="1:27" x14ac:dyDescent="0.25">
      <c r="S52" s="39"/>
      <c r="T52" s="40">
        <v>2000</v>
      </c>
      <c r="U52" s="92">
        <v>3540</v>
      </c>
      <c r="V52" s="93">
        <v>3100</v>
      </c>
      <c r="W52" s="92">
        <v>1400</v>
      </c>
      <c r="X52" s="94"/>
      <c r="Y52" s="92">
        <v>3265</v>
      </c>
      <c r="Z52" s="93">
        <v>2950</v>
      </c>
    </row>
    <row r="53" spans="1:27" x14ac:dyDescent="0.25">
      <c r="B53" t="str">
        <f>Translation!C52</f>
        <v>Minimale Tragfähigkeit der Decke/maximale Belastung in jedem einzelnen Befestigungspunkt: 100kg</v>
      </c>
      <c r="S53" s="41">
        <f>T52+1</f>
        <v>2001</v>
      </c>
      <c r="T53" s="42">
        <v>2125</v>
      </c>
      <c r="U53" s="73"/>
      <c r="V53" s="94"/>
      <c r="W53" s="73"/>
      <c r="X53" s="95"/>
      <c r="Y53" s="73"/>
      <c r="Z53" s="94"/>
    </row>
    <row r="54" spans="1:27" x14ac:dyDescent="0.25">
      <c r="S54" s="41">
        <f t="shared" ref="S54:S58" si="2">T53+1</f>
        <v>2126</v>
      </c>
      <c r="T54" s="42">
        <v>2250</v>
      </c>
      <c r="U54" s="73"/>
      <c r="V54" s="71">
        <f>U56</f>
        <v>4240</v>
      </c>
      <c r="W54" s="73"/>
      <c r="X54" s="95"/>
      <c r="Y54" s="73"/>
      <c r="Z54" s="71">
        <v>4060</v>
      </c>
    </row>
    <row r="55" spans="1:27" x14ac:dyDescent="0.25">
      <c r="A55" s="43" t="s">
        <v>35</v>
      </c>
      <c r="B55" s="7"/>
      <c r="C55" s="7"/>
      <c r="D55" s="7"/>
      <c r="E55" s="7"/>
      <c r="F55" s="7" t="s">
        <v>9</v>
      </c>
      <c r="G55" s="7"/>
      <c r="H55" s="7"/>
      <c r="I55" s="7"/>
      <c r="J55" s="7"/>
      <c r="K55" s="7"/>
      <c r="L55" s="7" t="s">
        <v>36</v>
      </c>
      <c r="M55" s="7"/>
      <c r="N55" s="7"/>
      <c r="O55" s="7"/>
      <c r="P55" s="7"/>
      <c r="Q55" s="7"/>
      <c r="S55" s="41">
        <f t="shared" si="2"/>
        <v>2251</v>
      </c>
      <c r="T55" s="42">
        <v>2375</v>
      </c>
      <c r="U55" s="73"/>
      <c r="V55" s="71"/>
      <c r="W55" s="73"/>
      <c r="X55" s="95"/>
      <c r="Y55" s="73"/>
      <c r="Z55" s="71"/>
    </row>
    <row r="56" spans="1:27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S56" s="41">
        <f t="shared" si="2"/>
        <v>2376</v>
      </c>
      <c r="T56" s="42">
        <v>2500</v>
      </c>
      <c r="U56" s="73">
        <v>4240</v>
      </c>
      <c r="V56" s="71"/>
      <c r="W56" s="73"/>
      <c r="X56" s="95"/>
      <c r="Y56" s="73">
        <v>3975</v>
      </c>
      <c r="Z56" s="71"/>
    </row>
    <row r="57" spans="1:27" x14ac:dyDescent="0.25">
      <c r="A57" s="7"/>
      <c r="P57" s="7"/>
      <c r="Q57" s="7"/>
      <c r="S57" s="41">
        <f t="shared" si="2"/>
        <v>2501</v>
      </c>
      <c r="T57" s="42">
        <v>2750</v>
      </c>
      <c r="U57" s="73"/>
      <c r="V57" s="71"/>
      <c r="W57" s="73"/>
      <c r="X57" s="95"/>
      <c r="Y57" s="73"/>
      <c r="Z57" s="71"/>
    </row>
    <row r="58" spans="1:27" ht="15.75" thickBot="1" x14ac:dyDescent="0.3">
      <c r="A58" s="44"/>
      <c r="N58">
        <v>54</v>
      </c>
      <c r="P58" s="7"/>
      <c r="Q58" s="7"/>
      <c r="S58" s="45">
        <f t="shared" si="2"/>
        <v>2751</v>
      </c>
      <c r="T58" s="46">
        <v>3000</v>
      </c>
      <c r="U58" s="74"/>
      <c r="V58" s="72"/>
      <c r="W58" s="74"/>
      <c r="X58" s="96"/>
      <c r="Y58" s="74"/>
      <c r="Z58" s="72"/>
    </row>
    <row r="59" spans="1:27" x14ac:dyDescent="0.25">
      <c r="A59" s="7"/>
      <c r="P59" s="7"/>
      <c r="Q59" s="7"/>
    </row>
    <row r="60" spans="1:27" x14ac:dyDescent="0.25">
      <c r="A60" s="7"/>
      <c r="P60" s="7"/>
      <c r="Q60" s="7"/>
    </row>
    <row r="61" spans="1:27" ht="15.75" thickBot="1" x14ac:dyDescent="0.3">
      <c r="A61" s="7"/>
      <c r="P61" s="7"/>
      <c r="Q61" s="7"/>
    </row>
    <row r="62" spans="1:27" x14ac:dyDescent="0.25">
      <c r="A62" s="7"/>
      <c r="P62" s="7"/>
      <c r="Q62" s="7"/>
      <c r="U62" s="2"/>
      <c r="V62" s="47"/>
      <c r="W62" s="75" t="s">
        <v>37</v>
      </c>
      <c r="X62" s="76"/>
      <c r="Y62" s="76"/>
      <c r="Z62" s="76"/>
      <c r="AA62" s="77"/>
    </row>
    <row r="63" spans="1:27" ht="14.45" customHeight="1" x14ac:dyDescent="0.25">
      <c r="A63" s="7"/>
      <c r="P63" s="7"/>
      <c r="Q63" s="7"/>
      <c r="U63" s="6"/>
      <c r="V63" s="48"/>
      <c r="W63" s="78" t="s">
        <v>38</v>
      </c>
      <c r="X63" s="79"/>
      <c r="Y63" s="79"/>
      <c r="Z63" s="79"/>
      <c r="AA63" s="80"/>
    </row>
    <row r="64" spans="1:27" ht="14.45" customHeight="1" x14ac:dyDescent="0.25">
      <c r="A64" s="7"/>
      <c r="P64" s="7"/>
      <c r="Q64" s="7"/>
      <c r="U64" s="6"/>
      <c r="V64" s="48"/>
      <c r="W64" s="81"/>
      <c r="X64" s="82"/>
      <c r="Y64" s="82"/>
      <c r="Z64" s="82"/>
      <c r="AA64" s="83"/>
    </row>
    <row r="65" spans="1:27" ht="14.45" customHeight="1" x14ac:dyDescent="0.25">
      <c r="A65" s="7"/>
      <c r="P65" s="7"/>
      <c r="Q65" s="7"/>
      <c r="U65" s="6"/>
      <c r="V65" s="48"/>
      <c r="W65" s="84"/>
      <c r="X65" s="85"/>
      <c r="Y65" s="85"/>
      <c r="Z65" s="85"/>
      <c r="AA65" s="86"/>
    </row>
    <row r="66" spans="1:27" x14ac:dyDescent="0.25">
      <c r="A66" s="7"/>
      <c r="P66" s="7"/>
      <c r="Q66" s="7"/>
      <c r="U66" s="6"/>
      <c r="V66" s="48"/>
      <c r="W66" s="49"/>
      <c r="X66" s="50"/>
      <c r="Y66" s="51"/>
      <c r="Z66" s="52" t="str">
        <f>Translation!C31</f>
        <v>Version:</v>
      </c>
      <c r="AA66" s="53" t="str">
        <f>Translation!C32</f>
        <v>Format:</v>
      </c>
    </row>
    <row r="67" spans="1:27" ht="15.75" thickBo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U67" s="9"/>
      <c r="V67" s="54"/>
      <c r="W67" s="55"/>
      <c r="X67" s="10"/>
      <c r="Y67" s="54"/>
      <c r="Z67" s="56">
        <v>1850</v>
      </c>
      <c r="AA67" s="57" t="s">
        <v>39</v>
      </c>
    </row>
    <row r="68" spans="1:27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</sheetData>
  <sheetProtection formatCells="0" selectLockedCells="1" autoFilter="0"/>
  <mergeCells count="53">
    <mergeCell ref="J2:J3"/>
    <mergeCell ref="S2:S3"/>
    <mergeCell ref="Z2:Z3"/>
    <mergeCell ref="K3:L4"/>
    <mergeCell ref="D4:D5"/>
    <mergeCell ref="J4:J5"/>
    <mergeCell ref="S4:S5"/>
    <mergeCell ref="Z4:Z5"/>
    <mergeCell ref="N15:N16"/>
    <mergeCell ref="J6:K7"/>
    <mergeCell ref="S6:S7"/>
    <mergeCell ref="Z6:Z7"/>
    <mergeCell ref="J8:K9"/>
    <mergeCell ref="S8:S9"/>
    <mergeCell ref="Z8:Z9"/>
    <mergeCell ref="A11:B11"/>
    <mergeCell ref="H12:H13"/>
    <mergeCell ref="I13:I14"/>
    <mergeCell ref="M14:M15"/>
    <mergeCell ref="E15:F16"/>
    <mergeCell ref="U32:AA34"/>
    <mergeCell ref="P33:P37"/>
    <mergeCell ref="Q33:Q37"/>
    <mergeCell ref="G34:G37"/>
    <mergeCell ref="L34:L37"/>
    <mergeCell ref="M34:M37"/>
    <mergeCell ref="S37:T37"/>
    <mergeCell ref="U37:U38"/>
    <mergeCell ref="V37:V38"/>
    <mergeCell ref="W37:Y37"/>
    <mergeCell ref="Z37:AA37"/>
    <mergeCell ref="V39:V45"/>
    <mergeCell ref="W39:W45"/>
    <mergeCell ref="X39:X45"/>
    <mergeCell ref="Y39:Y45"/>
    <mergeCell ref="Z39:Z45"/>
    <mergeCell ref="AA39:AA45"/>
    <mergeCell ref="W63:AA65"/>
    <mergeCell ref="S49:Z49"/>
    <mergeCell ref="S50:T50"/>
    <mergeCell ref="U50:V50"/>
    <mergeCell ref="W50:X50"/>
    <mergeCell ref="Y50:Z50"/>
    <mergeCell ref="U52:U55"/>
    <mergeCell ref="V52:V53"/>
    <mergeCell ref="W52:X58"/>
    <mergeCell ref="Y52:Y55"/>
    <mergeCell ref="Z52:Z53"/>
    <mergeCell ref="V54:V58"/>
    <mergeCell ref="Z54:Z58"/>
    <mergeCell ref="U56:U58"/>
    <mergeCell ref="Y56:Y58"/>
    <mergeCell ref="W62:AA62"/>
  </mergeCells>
  <dataValidations count="2">
    <dataValidation type="whole" operator="lessThanOrEqual" allowBlank="1" showInputMessage="1" showErrorMessage="1" errorTitle="Max = 5500 mm" sqref="J2:J3" xr:uid="{00000000-0002-0000-0000-000000000000}">
      <formula1>5500</formula1>
    </dataValidation>
    <dataValidation type="whole" operator="lessThanOrEqual" allowBlank="1" showInputMessage="1" showErrorMessage="1" errorTitle="Max. = 3000 mm" sqref="J4:J5" xr:uid="{00000000-0002-0000-0000-000001000000}">
      <formula1>3000</formula1>
    </dataValidation>
  </dataValidations>
  <hyperlinks>
    <hyperlink ref="W62" r:id="rId1" xr:uid="{00000000-0004-0000-0000-000000000000}"/>
  </hyperlinks>
  <printOptions horizontalCentered="1" verticalCentered="1"/>
  <pageMargins left="0.11811023622047245" right="0.11811023622047245" top="0.19685039370078741" bottom="0.19685039370078741" header="0" footer="0"/>
  <pageSetup paperSize="9" scale="5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Selections!$C$21:$C$23</xm:f>
          </x14:formula1>
          <xm:sqref>J8:K9</xm:sqref>
        </x14:dataValidation>
        <x14:dataValidation type="list" allowBlank="1" showErrorMessage="1" xr:uid="{00000000-0002-0000-0000-000003000000}">
          <x14:formula1>
            <xm:f>Selections!$A$2:$A$7</xm:f>
          </x14:formula1>
          <xm:sqref>D4:D5</xm:sqref>
        </x14:dataValidation>
        <x14:dataValidation type="list" allowBlank="1" showInputMessage="1" showErrorMessage="1" xr:uid="{00000000-0002-0000-0000-000004000000}">
          <x14:formula1>
            <xm:f>Selections!$C$16:$C$18</xm:f>
          </x14:formula1>
          <xm:sqref>J6:K7</xm:sqref>
        </x14:dataValidation>
        <x14:dataValidation type="list" allowBlank="1" showInputMessage="1" showErrorMessage="1" xr:uid="{00000000-0002-0000-0000-000005000000}">
          <x14:formula1>
            <xm:f>Selections!$I$16:$I$18</xm:f>
          </x14:formula1>
          <xm:sqref>Z2:Z3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0000"/>
  </sheetPr>
  <dimension ref="A1:AA69"/>
  <sheetViews>
    <sheetView zoomScale="80" zoomScaleNormal="80" workbookViewId="0">
      <pane ySplit="2" topLeftCell="A30" activePane="bottomLeft" state="frozen"/>
      <selection activeCell="D4" sqref="D4:D5"/>
      <selection pane="bottomLeft" activeCell="D4" sqref="D4:D5"/>
    </sheetView>
  </sheetViews>
  <sheetFormatPr baseColWidth="10" defaultColWidth="9.140625" defaultRowHeight="15" x14ac:dyDescent="0.25"/>
  <cols>
    <col min="1" max="1" width="9.85546875" bestFit="1" customWidth="1"/>
    <col min="2" max="4" width="9.85546875" customWidth="1"/>
    <col min="5" max="5" width="44.7109375" bestFit="1" customWidth="1"/>
    <col min="6" max="6" width="63.140625" bestFit="1" customWidth="1"/>
    <col min="7" max="7" width="82.5703125" customWidth="1"/>
    <col min="8" max="8" width="71" customWidth="1"/>
    <col min="9" max="9" width="96.140625" customWidth="1"/>
    <col min="10" max="10" width="82.7109375" bestFit="1" customWidth="1"/>
  </cols>
  <sheetData>
    <row r="1" spans="1:10" x14ac:dyDescent="0.25">
      <c r="A1" s="58"/>
      <c r="B1" s="58"/>
      <c r="C1" s="58" t="s">
        <v>41</v>
      </c>
      <c r="D1" s="58"/>
    </row>
    <row r="2" spans="1:10" x14ac:dyDescent="0.25">
      <c r="C2">
        <f>IF('LHR-C'!D4=E2,1,IF('LHR-C'!D4=F2,2,IF('LHR-C'!D4=G2,3,IF('LHR-C'!D4=H2,4,IF('LHR-C'!D4=I2,5,IF('LHR-C'!D4=J2,6,"Chyba"))))))</f>
        <v>3</v>
      </c>
      <c r="E2" t="s">
        <v>3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</row>
    <row r="3" spans="1:10" x14ac:dyDescent="0.25">
      <c r="C3" t="str">
        <f t="shared" ref="C3:C52" si="0">VLOOKUP(E3,E:J,$C$2,FALSE)</f>
        <v>Allgemeine</v>
      </c>
      <c r="E3" t="s">
        <v>47</v>
      </c>
      <c r="F3" t="s">
        <v>48</v>
      </c>
      <c r="G3" s="59" t="s">
        <v>49</v>
      </c>
      <c r="H3" s="59" t="s">
        <v>50</v>
      </c>
      <c r="I3" s="59" t="s">
        <v>51</v>
      </c>
      <c r="J3" s="59" t="s">
        <v>52</v>
      </c>
    </row>
    <row r="4" spans="1:10" x14ac:dyDescent="0.25">
      <c r="C4" t="str">
        <f t="shared" si="0"/>
        <v>Höhe [mm]</v>
      </c>
      <c r="E4" t="s">
        <v>53</v>
      </c>
      <c r="F4" t="s">
        <v>54</v>
      </c>
      <c r="G4" s="59" t="s">
        <v>55</v>
      </c>
      <c r="H4" s="59" t="s">
        <v>56</v>
      </c>
      <c r="I4" s="59" t="s">
        <v>57</v>
      </c>
      <c r="J4" s="59" t="s">
        <v>58</v>
      </c>
    </row>
    <row r="5" spans="1:10" x14ac:dyDescent="0.25">
      <c r="C5" t="str">
        <f t="shared" si="0"/>
        <v>Min. Deckenhöhe [mm]</v>
      </c>
      <c r="E5" t="s">
        <v>59</v>
      </c>
      <c r="F5" t="s">
        <v>60</v>
      </c>
      <c r="G5" s="59" t="s">
        <v>61</v>
      </c>
      <c r="H5" s="59" t="s">
        <v>62</v>
      </c>
      <c r="I5" s="59" t="s">
        <v>63</v>
      </c>
      <c r="J5" s="59" t="s">
        <v>64</v>
      </c>
    </row>
    <row r="6" spans="1:10" x14ac:dyDescent="0.25">
      <c r="C6" t="str">
        <f t="shared" si="0"/>
        <v>Tor ohne Motor</v>
      </c>
      <c r="E6" t="s">
        <v>65</v>
      </c>
      <c r="F6" t="s">
        <v>66</v>
      </c>
      <c r="G6" s="59" t="s">
        <v>67</v>
      </c>
      <c r="H6" s="59" t="s">
        <v>68</v>
      </c>
      <c r="I6" s="59" t="s">
        <v>69</v>
      </c>
      <c r="J6" s="59" t="s">
        <v>70</v>
      </c>
    </row>
    <row r="7" spans="1:10" x14ac:dyDescent="0.25">
      <c r="C7" t="str">
        <f t="shared" si="0"/>
        <v>Tor mit Motor</v>
      </c>
      <c r="E7" t="s">
        <v>71</v>
      </c>
      <c r="F7" t="s">
        <v>72</v>
      </c>
      <c r="G7" s="59" t="s">
        <v>73</v>
      </c>
      <c r="H7" s="59" t="s">
        <v>74</v>
      </c>
      <c r="I7" s="59" t="s">
        <v>75</v>
      </c>
      <c r="J7" s="59" t="s">
        <v>76</v>
      </c>
    </row>
    <row r="8" spans="1:10" x14ac:dyDescent="0.25">
      <c r="C8" t="str">
        <f t="shared" si="0"/>
        <v>Deckenhöhe [mm]</v>
      </c>
      <c r="E8" t="s">
        <v>77</v>
      </c>
      <c r="F8" t="s">
        <v>78</v>
      </c>
      <c r="G8" s="59" t="s">
        <v>79</v>
      </c>
      <c r="H8" s="59" t="s">
        <v>80</v>
      </c>
      <c r="I8" s="59" t="s">
        <v>81</v>
      </c>
      <c r="J8" s="59" t="s">
        <v>82</v>
      </c>
    </row>
    <row r="9" spans="1:10" x14ac:dyDescent="0.25">
      <c r="C9" t="str">
        <f t="shared" si="0"/>
        <v>Höhe zur unteren Kante des Sturzprofiles [mm]</v>
      </c>
      <c r="E9" t="s">
        <v>83</v>
      </c>
      <c r="F9" t="s">
        <v>84</v>
      </c>
      <c r="G9" s="59" t="s">
        <v>85</v>
      </c>
      <c r="H9" s="59" t="s">
        <v>86</v>
      </c>
      <c r="I9" s="59" t="s">
        <v>87</v>
      </c>
      <c r="J9" s="59" t="s">
        <v>88</v>
      </c>
    </row>
    <row r="10" spans="1:10" x14ac:dyDescent="0.25">
      <c r="C10" t="str">
        <f t="shared" si="0"/>
        <v>Untere Kante des vollständig geöffneten Tors [mm]</v>
      </c>
      <c r="E10" t="s">
        <v>89</v>
      </c>
      <c r="F10" t="s">
        <v>90</v>
      </c>
      <c r="G10" s="59" t="s">
        <v>91</v>
      </c>
      <c r="H10" s="59" t="s">
        <v>92</v>
      </c>
      <c r="I10" s="59" t="s">
        <v>93</v>
      </c>
      <c r="J10" s="59" t="s">
        <v>94</v>
      </c>
    </row>
    <row r="11" spans="1:10" x14ac:dyDescent="0.25">
      <c r="C11" t="str">
        <f t="shared" si="0"/>
        <v>Untere Kante des vollständig geöffneten Tors (CPH) [mm]</v>
      </c>
      <c r="E11" t="s">
        <v>95</v>
      </c>
      <c r="F11" t="s">
        <v>96</v>
      </c>
      <c r="G11" s="59" t="s">
        <v>97</v>
      </c>
      <c r="H11" s="59" t="s">
        <v>98</v>
      </c>
      <c r="I11" s="59" t="s">
        <v>99</v>
      </c>
      <c r="J11" s="59" t="s">
        <v>100</v>
      </c>
    </row>
    <row r="12" spans="1:10" x14ac:dyDescent="0.25">
      <c r="C12" t="str">
        <f t="shared" si="0"/>
        <v>Führungstiefe [mm]</v>
      </c>
      <c r="E12" s="60" t="s">
        <v>101</v>
      </c>
      <c r="F12" s="60" t="s">
        <v>102</v>
      </c>
      <c r="G12" s="17" t="s">
        <v>103</v>
      </c>
      <c r="H12" s="17" t="s">
        <v>104</v>
      </c>
      <c r="I12" s="17" t="s">
        <v>105</v>
      </c>
      <c r="J12" s="17" t="s">
        <v>106</v>
      </c>
    </row>
    <row r="13" spans="1:10" x14ac:dyDescent="0.25">
      <c r="C13" t="str">
        <f t="shared" si="0"/>
        <v>Führungstiefe (D) [mm]</v>
      </c>
      <c r="E13" s="60" t="s">
        <v>107</v>
      </c>
      <c r="F13" s="60" t="s">
        <v>108</v>
      </c>
      <c r="G13" s="17" t="s">
        <v>109</v>
      </c>
      <c r="H13" s="17" t="s">
        <v>110</v>
      </c>
      <c r="I13" s="17" t="s">
        <v>111</v>
      </c>
      <c r="J13" s="17" t="s">
        <v>112</v>
      </c>
    </row>
    <row r="14" spans="1:10" x14ac:dyDescent="0.25">
      <c r="C14" t="str">
        <f t="shared" si="0"/>
        <v>Antriebslänge [mm]</v>
      </c>
      <c r="E14" s="60" t="s">
        <v>113</v>
      </c>
      <c r="F14" s="60" t="s">
        <v>114</v>
      </c>
      <c r="G14" s="17" t="s">
        <v>115</v>
      </c>
      <c r="H14" s="17" t="s">
        <v>116</v>
      </c>
      <c r="I14" s="17" t="s">
        <v>117</v>
      </c>
      <c r="J14" s="17" t="s">
        <v>118</v>
      </c>
    </row>
    <row r="15" spans="1:10" x14ac:dyDescent="0.25">
      <c r="C15" t="str">
        <f t="shared" si="0"/>
        <v>Antriebslänge (X) [mm]</v>
      </c>
      <c r="E15" s="60" t="s">
        <v>119</v>
      </c>
      <c r="F15" s="60" t="s">
        <v>120</v>
      </c>
      <c r="G15" s="17" t="s">
        <v>121</v>
      </c>
      <c r="H15" s="17" t="s">
        <v>122</v>
      </c>
      <c r="I15" s="17" t="s">
        <v>123</v>
      </c>
      <c r="J15" s="17" t="s">
        <v>124</v>
      </c>
    </row>
    <row r="16" spans="1:10" x14ac:dyDescent="0.25">
      <c r="C16" t="str">
        <f t="shared" si="0"/>
        <v>Untere Kante der Horizontalführung [mm]</v>
      </c>
      <c r="E16" s="60" t="s">
        <v>125</v>
      </c>
      <c r="F16" s="60" t="s">
        <v>126</v>
      </c>
      <c r="G16" s="59" t="s">
        <v>127</v>
      </c>
      <c r="H16" s="17" t="s">
        <v>128</v>
      </c>
      <c r="I16" s="59" t="s">
        <v>129</v>
      </c>
      <c r="J16" s="17" t="s">
        <v>130</v>
      </c>
    </row>
    <row r="17" spans="3:10" x14ac:dyDescent="0.25">
      <c r="C17" t="str">
        <f t="shared" si="0"/>
        <v>Untere Kante der Horizontalführung (K) [mm]</v>
      </c>
      <c r="E17" s="60" t="s">
        <v>131</v>
      </c>
      <c r="F17" s="60" t="s">
        <v>132</v>
      </c>
      <c r="G17" s="59" t="s">
        <v>133</v>
      </c>
      <c r="H17" s="17" t="s">
        <v>134</v>
      </c>
      <c r="I17" s="59" t="s">
        <v>135</v>
      </c>
      <c r="J17" s="17" t="s">
        <v>136</v>
      </c>
    </row>
    <row r="18" spans="3:10" x14ac:dyDescent="0.25">
      <c r="C18" t="str">
        <f t="shared" si="0"/>
        <v>Verankerungspunkt der Antriebsleiste [mm]</v>
      </c>
      <c r="E18" s="60" t="s">
        <v>137</v>
      </c>
      <c r="F18" s="60" t="s">
        <v>138</v>
      </c>
      <c r="G18" s="17" t="s">
        <v>139</v>
      </c>
      <c r="H18" s="17" t="s">
        <v>140</v>
      </c>
      <c r="I18" s="17" t="s">
        <v>141</v>
      </c>
      <c r="J18" s="17" t="s">
        <v>142</v>
      </c>
    </row>
    <row r="19" spans="3:10" x14ac:dyDescent="0.25">
      <c r="C19" t="str">
        <f t="shared" si="0"/>
        <v>Verankerungspunkt der Antriebsleiste (E1) [mm]</v>
      </c>
      <c r="E19" s="60" t="s">
        <v>143</v>
      </c>
      <c r="F19" s="60" t="s">
        <v>144</v>
      </c>
      <c r="G19" s="17" t="s">
        <v>145</v>
      </c>
      <c r="H19" s="17" t="s">
        <v>146</v>
      </c>
      <c r="I19" s="17" t="s">
        <v>147</v>
      </c>
      <c r="J19" s="17" t="s">
        <v>148</v>
      </c>
    </row>
    <row r="20" spans="3:10" x14ac:dyDescent="0.25">
      <c r="C20" t="str">
        <f t="shared" si="0"/>
        <v>Verankerungspunkt des Antriebes [mm]</v>
      </c>
      <c r="E20" s="60" t="s">
        <v>149</v>
      </c>
      <c r="F20" s="60" t="s">
        <v>150</v>
      </c>
      <c r="G20" s="17" t="s">
        <v>151</v>
      </c>
      <c r="H20" s="17" t="s">
        <v>152</v>
      </c>
      <c r="I20" s="17" t="s">
        <v>153</v>
      </c>
      <c r="J20" s="17" t="s">
        <v>154</v>
      </c>
    </row>
    <row r="21" spans="3:10" x14ac:dyDescent="0.25">
      <c r="C21" t="str">
        <f t="shared" si="0"/>
        <v>Verankerungspunkt des Antriebes (E2) [mm]</v>
      </c>
      <c r="E21" s="60" t="s">
        <v>155</v>
      </c>
      <c r="F21" s="60" t="s">
        <v>156</v>
      </c>
      <c r="G21" s="17" t="s">
        <v>157</v>
      </c>
      <c r="H21" s="17" t="s">
        <v>158</v>
      </c>
      <c r="I21" s="17" t="s">
        <v>159</v>
      </c>
      <c r="J21" s="17" t="s">
        <v>160</v>
      </c>
    </row>
    <row r="22" spans="3:10" x14ac:dyDescent="0.25">
      <c r="C22" t="str">
        <f t="shared" si="0"/>
        <v>Verankerungspunkt</v>
      </c>
      <c r="E22" s="60" t="s">
        <v>161</v>
      </c>
      <c r="F22" s="60" t="s">
        <v>162</v>
      </c>
      <c r="G22" s="17" t="s">
        <v>163</v>
      </c>
      <c r="H22" s="17" t="s">
        <v>164</v>
      </c>
      <c r="I22" s="17" t="s">
        <v>165</v>
      </c>
      <c r="J22" s="17" t="s">
        <v>166</v>
      </c>
    </row>
    <row r="23" spans="3:10" x14ac:dyDescent="0.25">
      <c r="C23" t="str">
        <f t="shared" si="0"/>
        <v>Verankerungspunkt (W&gt;3000 oder H&gt;2500)</v>
      </c>
      <c r="E23" s="60" t="s">
        <v>167</v>
      </c>
      <c r="F23" s="60" t="s">
        <v>168</v>
      </c>
      <c r="G23" s="17" t="s">
        <v>169</v>
      </c>
      <c r="H23" s="17" t="s">
        <v>170</v>
      </c>
      <c r="I23" s="17" t="s">
        <v>171</v>
      </c>
      <c r="J23" s="17" t="s">
        <v>172</v>
      </c>
    </row>
    <row r="24" spans="3:10" x14ac:dyDescent="0.25">
      <c r="C24" t="str">
        <f t="shared" si="0"/>
        <v>Standardmontage</v>
      </c>
      <c r="E24" s="60" t="s">
        <v>173</v>
      </c>
      <c r="F24" s="60" t="s">
        <v>174</v>
      </c>
      <c r="G24" s="17" t="s">
        <v>175</v>
      </c>
      <c r="H24" s="17" t="s">
        <v>176</v>
      </c>
      <c r="I24" s="17" t="s">
        <v>177</v>
      </c>
      <c r="J24" s="17" t="s">
        <v>178</v>
      </c>
    </row>
    <row r="25" spans="3:10" x14ac:dyDescent="0.25">
      <c r="C25" t="str">
        <f t="shared" si="0"/>
        <v>Alternative Montage</v>
      </c>
      <c r="E25" s="60" t="s">
        <v>179</v>
      </c>
      <c r="F25" s="60" t="s">
        <v>180</v>
      </c>
      <c r="G25" s="17" t="s">
        <v>181</v>
      </c>
      <c r="H25" s="17" t="s">
        <v>182</v>
      </c>
      <c r="I25" s="17" t="s">
        <v>183</v>
      </c>
      <c r="J25" s="17" t="s">
        <v>184</v>
      </c>
    </row>
    <row r="26" spans="3:10" x14ac:dyDescent="0.25">
      <c r="C26" t="str">
        <f t="shared" si="0"/>
        <v>Höhe der Bauöffnung [mm]</v>
      </c>
      <c r="E26" s="60" t="s">
        <v>185</v>
      </c>
      <c r="F26" s="60" t="s">
        <v>186</v>
      </c>
      <c r="G26" s="17" t="s">
        <v>187</v>
      </c>
      <c r="H26" s="17" t="s">
        <v>188</v>
      </c>
      <c r="I26" s="17" t="s">
        <v>189</v>
      </c>
      <c r="J26" s="17" t="s">
        <v>190</v>
      </c>
    </row>
    <row r="27" spans="3:10" x14ac:dyDescent="0.25">
      <c r="C27" t="str">
        <f t="shared" si="0"/>
        <v>Höhe der Bauöffnung (H) [mm]</v>
      </c>
      <c r="E27" s="60" t="s">
        <v>191</v>
      </c>
      <c r="F27" s="60" t="s">
        <v>192</v>
      </c>
      <c r="G27" s="17" t="s">
        <v>193</v>
      </c>
      <c r="H27" s="17" t="s">
        <v>194</v>
      </c>
      <c r="I27" s="17" t="s">
        <v>195</v>
      </c>
      <c r="J27" s="17" t="s">
        <v>196</v>
      </c>
    </row>
    <row r="28" spans="3:10" x14ac:dyDescent="0.25">
      <c r="C28" t="str">
        <f t="shared" si="0"/>
        <v>Standardsituation</v>
      </c>
      <c r="E28" s="60" t="s">
        <v>197</v>
      </c>
      <c r="F28" s="60" t="s">
        <v>198</v>
      </c>
      <c r="G28" s="17" t="s">
        <v>199</v>
      </c>
      <c r="H28" s="17" t="s">
        <v>200</v>
      </c>
      <c r="I28" s="17" t="s">
        <v>201</v>
      </c>
      <c r="J28" s="17" t="s">
        <v>202</v>
      </c>
    </row>
    <row r="29" spans="3:10" x14ac:dyDescent="0.25">
      <c r="C29" t="str">
        <f t="shared" si="0"/>
        <v>Ungewöhnliche Situation</v>
      </c>
      <c r="E29" s="60" t="s">
        <v>203</v>
      </c>
      <c r="F29" s="60" t="s">
        <v>204</v>
      </c>
      <c r="G29" s="17" t="s">
        <v>205</v>
      </c>
      <c r="H29" s="17" t="s">
        <v>206</v>
      </c>
      <c r="I29" s="17" t="s">
        <v>207</v>
      </c>
      <c r="J29" s="17" t="s">
        <v>208</v>
      </c>
    </row>
    <row r="30" spans="3:10" x14ac:dyDescent="0.25">
      <c r="C30" t="str">
        <f t="shared" si="0"/>
        <v>Die Paneelaufteilung und das Design des Torblattes wird immer auf der Basis von FOH-Mass gelöst.</v>
      </c>
      <c r="E30" s="60" t="s">
        <v>209</v>
      </c>
      <c r="F30" s="60" t="s">
        <v>210</v>
      </c>
      <c r="G30" s="17" t="s">
        <v>211</v>
      </c>
      <c r="H30" s="17" t="s">
        <v>212</v>
      </c>
      <c r="I30" s="17" t="s">
        <v>213</v>
      </c>
      <c r="J30" s="17" t="s">
        <v>214</v>
      </c>
    </row>
    <row r="31" spans="3:10" x14ac:dyDescent="0.25">
      <c r="C31" t="str">
        <f t="shared" si="0"/>
        <v>Version:</v>
      </c>
      <c r="E31" s="60" t="s">
        <v>215</v>
      </c>
      <c r="F31" s="60" t="s">
        <v>216</v>
      </c>
      <c r="G31" s="60" t="s">
        <v>216</v>
      </c>
      <c r="H31" s="60" t="s">
        <v>217</v>
      </c>
      <c r="I31" s="60" t="s">
        <v>218</v>
      </c>
      <c r="J31" s="17" t="s">
        <v>219</v>
      </c>
    </row>
    <row r="32" spans="3:10" x14ac:dyDescent="0.25">
      <c r="C32" t="str">
        <f t="shared" si="0"/>
        <v>Format:</v>
      </c>
      <c r="E32" s="60" t="s">
        <v>220</v>
      </c>
      <c r="F32" s="60" t="s">
        <v>221</v>
      </c>
      <c r="G32" s="60" t="s">
        <v>222</v>
      </c>
      <c r="H32" s="60" t="s">
        <v>222</v>
      </c>
      <c r="I32" s="60" t="s">
        <v>223</v>
      </c>
      <c r="J32" s="17" t="s">
        <v>224</v>
      </c>
    </row>
    <row r="33" spans="3:10" x14ac:dyDescent="0.25">
      <c r="C33" t="str">
        <f t="shared" si="0"/>
        <v>Die Position der Steckdose ca.250 mm</v>
      </c>
      <c r="E33" s="61" t="s">
        <v>225</v>
      </c>
      <c r="F33" s="60" t="s">
        <v>226</v>
      </c>
      <c r="G33" s="17" t="s">
        <v>227</v>
      </c>
      <c r="H33" s="17" t="s">
        <v>228</v>
      </c>
      <c r="I33" s="17" t="s">
        <v>229</v>
      </c>
      <c r="J33" s="17" t="s">
        <v>230</v>
      </c>
    </row>
    <row r="34" spans="3:10" x14ac:dyDescent="0.25">
      <c r="C34" t="str">
        <f t="shared" si="0"/>
        <v>Steckdose CEE 7/3 oder CEE 7/5</v>
      </c>
      <c r="E34" s="61" t="s">
        <v>231</v>
      </c>
      <c r="F34" s="60" t="s">
        <v>232</v>
      </c>
      <c r="G34" t="s">
        <v>233</v>
      </c>
      <c r="H34" t="s">
        <v>234</v>
      </c>
      <c r="I34" t="s">
        <v>235</v>
      </c>
      <c r="J34" s="17" t="s">
        <v>236</v>
      </c>
    </row>
    <row r="35" spans="3:10" x14ac:dyDescent="0.25">
      <c r="C35" t="str">
        <f t="shared" si="0"/>
        <v>230V, 50Hz, Sicherung 6 A (10 A) mit Schutzschalter</v>
      </c>
      <c r="E35" s="61" t="s">
        <v>237</v>
      </c>
      <c r="F35" s="60" t="s">
        <v>238</v>
      </c>
      <c r="G35" t="s">
        <v>239</v>
      </c>
      <c r="H35" t="s">
        <v>240</v>
      </c>
      <c r="I35" t="s">
        <v>241</v>
      </c>
      <c r="J35" s="17" t="s">
        <v>242</v>
      </c>
    </row>
    <row r="36" spans="3:10" x14ac:dyDescent="0.25">
      <c r="C36" t="str">
        <f t="shared" si="0"/>
        <v>Lichte Breite [mm]</v>
      </c>
      <c r="E36" s="60" t="s">
        <v>243</v>
      </c>
      <c r="F36" s="60" t="s">
        <v>244</v>
      </c>
      <c r="G36" s="60" t="s">
        <v>245</v>
      </c>
      <c r="H36" s="60" t="s">
        <v>246</v>
      </c>
      <c r="I36" s="60" t="s">
        <v>247</v>
      </c>
      <c r="J36" s="17" t="s">
        <v>248</v>
      </c>
    </row>
    <row r="37" spans="3:10" x14ac:dyDescent="0.25">
      <c r="C37" t="str">
        <f t="shared" si="0"/>
        <v>Lichte Breite (W) [mm]</v>
      </c>
      <c r="E37" s="60" t="s">
        <v>249</v>
      </c>
      <c r="F37" s="60" t="s">
        <v>250</v>
      </c>
      <c r="G37" s="60" t="s">
        <v>251</v>
      </c>
      <c r="H37" s="60" t="s">
        <v>252</v>
      </c>
      <c r="I37" s="60" t="s">
        <v>253</v>
      </c>
      <c r="J37" s="17" t="s">
        <v>254</v>
      </c>
    </row>
    <row r="38" spans="3:10" x14ac:dyDescent="0.25">
      <c r="C38" t="str">
        <f t="shared" si="0"/>
        <v>Bedienung</v>
      </c>
      <c r="E38" s="60" t="s">
        <v>255</v>
      </c>
      <c r="F38" s="60" t="s">
        <v>256</v>
      </c>
      <c r="G38" s="60" t="s">
        <v>257</v>
      </c>
      <c r="H38" s="60" t="s">
        <v>258</v>
      </c>
      <c r="I38" s="60" t="s">
        <v>259</v>
      </c>
      <c r="J38" s="17" t="s">
        <v>260</v>
      </c>
    </row>
    <row r="39" spans="3:10" x14ac:dyDescent="0.25">
      <c r="C39" t="str">
        <f t="shared" si="0"/>
        <v>händisch</v>
      </c>
      <c r="E39" s="60" t="s">
        <v>261</v>
      </c>
      <c r="F39" s="60" t="s">
        <v>262</v>
      </c>
      <c r="G39" s="60" t="s">
        <v>263</v>
      </c>
      <c r="H39" s="60" t="s">
        <v>264</v>
      </c>
      <c r="I39" s="60" t="s">
        <v>265</v>
      </c>
      <c r="J39" s="17" t="s">
        <v>266</v>
      </c>
    </row>
    <row r="40" spans="3:10" x14ac:dyDescent="0.25">
      <c r="C40" t="str">
        <f t="shared" si="0"/>
        <v>elektrisch</v>
      </c>
      <c r="E40" s="60" t="s">
        <v>267</v>
      </c>
      <c r="F40" s="60" t="s">
        <v>268</v>
      </c>
      <c r="G40" s="60" t="s">
        <v>269</v>
      </c>
      <c r="H40" s="60" t="s">
        <v>270</v>
      </c>
      <c r="I40" s="60" t="s">
        <v>271</v>
      </c>
      <c r="J40" s="17" t="s">
        <v>269</v>
      </c>
    </row>
    <row r="41" spans="3:10" x14ac:dyDescent="0.25">
      <c r="C41" t="str">
        <f t="shared" si="0"/>
        <v>Freiraum über Sturz [mm]</v>
      </c>
      <c r="E41" s="60" t="s">
        <v>272</v>
      </c>
      <c r="F41" s="60" t="s">
        <v>273</v>
      </c>
      <c r="G41" s="60" t="s">
        <v>274</v>
      </c>
      <c r="H41" s="60" t="s">
        <v>275</v>
      </c>
      <c r="I41" s="60" t="s">
        <v>276</v>
      </c>
      <c r="J41" s="17" t="s">
        <v>277</v>
      </c>
    </row>
    <row r="42" spans="3:10" x14ac:dyDescent="0.25">
      <c r="C42" t="str">
        <f t="shared" si="0"/>
        <v>Freiraum über Sturz (F) [mm]</v>
      </c>
      <c r="E42" s="60" t="s">
        <v>278</v>
      </c>
      <c r="F42" s="60" t="s">
        <v>279</v>
      </c>
      <c r="G42" s="60" t="s">
        <v>280</v>
      </c>
      <c r="H42" s="60" t="s">
        <v>281</v>
      </c>
      <c r="I42" s="60" t="s">
        <v>282</v>
      </c>
      <c r="J42" s="17" t="s">
        <v>283</v>
      </c>
    </row>
    <row r="43" spans="3:10" x14ac:dyDescent="0.25">
      <c r="C43" t="str">
        <f t="shared" si="0"/>
        <v>Der Typ des Antriebs</v>
      </c>
      <c r="E43" s="60" t="s">
        <v>284</v>
      </c>
      <c r="F43" s="60" t="s">
        <v>285</v>
      </c>
      <c r="G43" s="60" t="s">
        <v>286</v>
      </c>
      <c r="H43" s="60" t="s">
        <v>287</v>
      </c>
      <c r="I43" s="60" t="s">
        <v>288</v>
      </c>
      <c r="J43" s="17" t="s">
        <v>289</v>
      </c>
    </row>
    <row r="44" spans="3:10" x14ac:dyDescent="0.25">
      <c r="C44" t="str">
        <f t="shared" si="0"/>
        <v>Die Information über den Antrieb</v>
      </c>
      <c r="E44" s="60" t="s">
        <v>290</v>
      </c>
      <c r="F44" s="60" t="s">
        <v>291</v>
      </c>
      <c r="G44" s="60" t="s">
        <v>292</v>
      </c>
      <c r="H44" s="60" t="s">
        <v>293</v>
      </c>
      <c r="I44" s="60" t="s">
        <v>294</v>
      </c>
      <c r="J44" s="17" t="s">
        <v>295</v>
      </c>
    </row>
    <row r="45" spans="3:10" x14ac:dyDescent="0.25">
      <c r="C45" t="str">
        <f t="shared" si="0"/>
        <v>Die Unterbringung der Oberdichtung</v>
      </c>
      <c r="E45" s="60" t="s">
        <v>296</v>
      </c>
      <c r="F45" s="60" t="s">
        <v>297</v>
      </c>
      <c r="G45" s="60" t="s">
        <v>298</v>
      </c>
      <c r="H45" s="60" t="s">
        <v>299</v>
      </c>
      <c r="I45" s="60" t="s">
        <v>300</v>
      </c>
      <c r="J45" s="17" t="s">
        <v>301</v>
      </c>
    </row>
    <row r="46" spans="3:10" x14ac:dyDescent="0.25">
      <c r="C46" t="str">
        <f t="shared" si="0"/>
        <v xml:space="preserve">Auf dem Sturz </v>
      </c>
      <c r="E46" s="60" t="s">
        <v>302</v>
      </c>
      <c r="F46" s="60" t="s">
        <v>303</v>
      </c>
      <c r="G46" s="60" t="s">
        <v>304</v>
      </c>
      <c r="H46" s="60" t="s">
        <v>305</v>
      </c>
      <c r="I46" s="60" t="s">
        <v>306</v>
      </c>
      <c r="J46" s="17" t="s">
        <v>307</v>
      </c>
    </row>
    <row r="47" spans="3:10" x14ac:dyDescent="0.25">
      <c r="C47" t="str">
        <f t="shared" si="0"/>
        <v>Auf der Obersektion</v>
      </c>
      <c r="E47" s="60" t="s">
        <v>308</v>
      </c>
      <c r="F47" s="60" t="s">
        <v>309</v>
      </c>
      <c r="G47" s="60" t="s">
        <v>310</v>
      </c>
      <c r="H47" s="60" t="s">
        <v>311</v>
      </c>
      <c r="I47" s="60" t="s">
        <v>312</v>
      </c>
      <c r="J47" s="17" t="s">
        <v>313</v>
      </c>
    </row>
    <row r="48" spans="3:10" x14ac:dyDescent="0.25">
      <c r="C48" t="str">
        <f t="shared" si="0"/>
        <v>Version der SL-Umlenkung</v>
      </c>
      <c r="E48" s="60" t="s">
        <v>314</v>
      </c>
      <c r="F48" s="60" t="s">
        <v>315</v>
      </c>
      <c r="G48" s="60" t="s">
        <v>316</v>
      </c>
      <c r="H48" t="s">
        <v>317</v>
      </c>
      <c r="I48" t="s">
        <v>318</v>
      </c>
      <c r="J48" s="17" t="s">
        <v>319</v>
      </c>
    </row>
    <row r="49" spans="3:27" x14ac:dyDescent="0.25">
      <c r="C49" t="str">
        <f t="shared" si="0"/>
        <v>= Zargensätze ohne vorgeborte Löcher, Ausführung in RAL 9010</v>
      </c>
      <c r="E49" s="62" t="s">
        <v>320</v>
      </c>
      <c r="F49" s="62" t="s">
        <v>321</v>
      </c>
      <c r="G49" s="62" t="s">
        <v>322</v>
      </c>
      <c r="H49" s="62" t="s">
        <v>323</v>
      </c>
      <c r="I49" s="62" t="s">
        <v>324</v>
      </c>
      <c r="J49" s="63" t="s">
        <v>325</v>
      </c>
    </row>
    <row r="50" spans="3:27" x14ac:dyDescent="0.25">
      <c r="C50" t="str">
        <f t="shared" si="0"/>
        <v>Durchfahrtshöhe kann bei der Montage der Zubehörteile an die Innenseite des Torflügels reduziert werden (betrifft Handgriff, Versteifungen, etc.)</v>
      </c>
      <c r="E50" s="60" t="s">
        <v>326</v>
      </c>
      <c r="F50" s="60" t="s">
        <v>327</v>
      </c>
      <c r="G50" s="60" t="s">
        <v>328</v>
      </c>
      <c r="H50" s="60" t="s">
        <v>329</v>
      </c>
      <c r="I50" s="60" t="s">
        <v>330</v>
      </c>
      <c r="J50" s="17" t="s">
        <v>331</v>
      </c>
    </row>
    <row r="51" spans="3:27" x14ac:dyDescent="0.25">
      <c r="C51" t="str">
        <f t="shared" si="0"/>
        <v>bei der Verwendung der Toorflügelsperre</v>
      </c>
      <c r="E51" s="60" t="s">
        <v>332</v>
      </c>
      <c r="F51" s="60" t="s">
        <v>333</v>
      </c>
      <c r="G51" s="60" t="s">
        <v>334</v>
      </c>
      <c r="H51" s="60" t="s">
        <v>335</v>
      </c>
      <c r="I51" s="60" t="s">
        <v>336</v>
      </c>
      <c r="J51" t="s">
        <v>337</v>
      </c>
    </row>
    <row r="52" spans="3:27" x14ac:dyDescent="0.25">
      <c r="C52" t="str">
        <f t="shared" si="0"/>
        <v>Minimale Tragfähigkeit der Decke/maximale Belastung in jedem einzelnen Befestigungspunkt: 100kg</v>
      </c>
      <c r="E52" s="60" t="s">
        <v>338</v>
      </c>
      <c r="F52" s="60" t="s">
        <v>339</v>
      </c>
      <c r="G52" s="60" t="s">
        <v>340</v>
      </c>
      <c r="H52" s="60" t="s">
        <v>341</v>
      </c>
      <c r="I52" s="60" t="s">
        <v>342</v>
      </c>
      <c r="J52" s="17" t="s">
        <v>343</v>
      </c>
    </row>
    <row r="63" spans="3:27" ht="15.75" thickBot="1" x14ac:dyDescent="0.3"/>
    <row r="64" spans="3:27" x14ac:dyDescent="0.25">
      <c r="V64" s="2"/>
      <c r="W64" s="3"/>
      <c r="X64" s="3"/>
      <c r="Y64" s="3"/>
      <c r="Z64" s="3"/>
      <c r="AA64" s="4"/>
    </row>
    <row r="65" spans="22:27" x14ac:dyDescent="0.25">
      <c r="V65" s="6"/>
      <c r="W65" s="7"/>
      <c r="X65" s="7"/>
      <c r="Y65" s="7"/>
      <c r="Z65" s="7"/>
      <c r="AA65" s="8"/>
    </row>
    <row r="66" spans="22:27" x14ac:dyDescent="0.25">
      <c r="V66" s="6"/>
      <c r="W66" s="7"/>
      <c r="X66" s="7"/>
      <c r="Y66" s="7"/>
      <c r="Z66" s="7"/>
      <c r="AA66" s="8"/>
    </row>
    <row r="67" spans="22:27" x14ac:dyDescent="0.25">
      <c r="V67" s="6"/>
      <c r="W67" s="7"/>
      <c r="X67" s="7"/>
      <c r="Y67" s="7"/>
      <c r="Z67" s="7"/>
      <c r="AA67" s="8"/>
    </row>
    <row r="68" spans="22:27" x14ac:dyDescent="0.25">
      <c r="V68" s="6"/>
      <c r="W68" s="7"/>
      <c r="X68" s="7"/>
      <c r="Y68" s="7"/>
      <c r="Z68" s="7"/>
      <c r="AA68" s="8"/>
    </row>
    <row r="69" spans="22:27" ht="15.75" thickBot="1" x14ac:dyDescent="0.3">
      <c r="V69" s="9"/>
      <c r="W69" s="10"/>
      <c r="X69" s="10"/>
      <c r="Y69" s="10"/>
      <c r="Z69" s="10"/>
      <c r="AA69" s="1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FF0000"/>
  </sheetPr>
  <dimension ref="A1:AA67"/>
  <sheetViews>
    <sheetView topLeftCell="A15" workbookViewId="0">
      <selection activeCell="D4" sqref="D4:D5"/>
    </sheetView>
  </sheetViews>
  <sheetFormatPr baseColWidth="10" defaultColWidth="9.140625" defaultRowHeight="15" x14ac:dyDescent="0.25"/>
  <cols>
    <col min="1" max="1" width="10" bestFit="1" customWidth="1"/>
    <col min="3" max="3" width="11.7109375" customWidth="1"/>
    <col min="4" max="4" width="11.5703125" customWidth="1"/>
    <col min="5" max="5" width="9.85546875" bestFit="1" customWidth="1"/>
    <col min="7" max="7" width="9.85546875" bestFit="1" customWidth="1"/>
    <col min="8" max="8" width="11.28515625" bestFit="1" customWidth="1"/>
    <col min="9" max="9" width="11.140625" customWidth="1"/>
    <col min="11" max="11" width="9.85546875" bestFit="1" customWidth="1"/>
    <col min="13" max="13" width="9.85546875" bestFit="1" customWidth="1"/>
    <col min="15" max="15" width="9.85546875" bestFit="1" customWidth="1"/>
    <col min="17" max="17" width="9.85546875" bestFit="1" customWidth="1"/>
  </cols>
  <sheetData>
    <row r="1" spans="1:15" x14ac:dyDescent="0.25">
      <c r="A1" t="s">
        <v>344</v>
      </c>
      <c r="C1" s="64" t="s">
        <v>40</v>
      </c>
    </row>
    <row r="2" spans="1:15" x14ac:dyDescent="0.25">
      <c r="A2" t="s">
        <v>3</v>
      </c>
    </row>
    <row r="3" spans="1:15" x14ac:dyDescent="0.25">
      <c r="A3" t="s">
        <v>42</v>
      </c>
      <c r="C3" s="65">
        <f>Translation!B38</f>
        <v>0</v>
      </c>
      <c r="E3" s="66" t="s">
        <v>345</v>
      </c>
      <c r="F3" s="67"/>
      <c r="I3" s="65">
        <f>Translation!B43</f>
        <v>0</v>
      </c>
      <c r="K3" s="66" t="s">
        <v>346</v>
      </c>
      <c r="L3" s="67"/>
      <c r="N3" s="66" t="s">
        <v>347</v>
      </c>
      <c r="O3" s="67"/>
    </row>
    <row r="4" spans="1:15" x14ac:dyDescent="0.25">
      <c r="A4" t="s">
        <v>43</v>
      </c>
      <c r="C4" s="68"/>
      <c r="E4" s="68"/>
      <c r="F4" s="68"/>
      <c r="I4" s="68"/>
    </row>
    <row r="5" spans="1:15" x14ac:dyDescent="0.25">
      <c r="A5" t="s">
        <v>44</v>
      </c>
      <c r="C5" s="68">
        <f>Translation!B39</f>
        <v>0</v>
      </c>
      <c r="E5" s="68">
        <v>0</v>
      </c>
      <c r="F5" s="68">
        <f>2575</f>
        <v>2575</v>
      </c>
      <c r="I5" s="68" t="s">
        <v>33</v>
      </c>
      <c r="K5" s="69" t="str">
        <f>I5</f>
        <v>Black</v>
      </c>
      <c r="L5" s="70"/>
      <c r="N5" s="69" t="str">
        <f>I5</f>
        <v>Black</v>
      </c>
      <c r="O5" s="70"/>
    </row>
    <row r="6" spans="1:15" x14ac:dyDescent="0.25">
      <c r="A6" t="s">
        <v>46</v>
      </c>
      <c r="C6" s="68">
        <f>Translation!B40</f>
        <v>0</v>
      </c>
      <c r="E6" s="68">
        <v>2001</v>
      </c>
      <c r="F6" s="68">
        <v>2700</v>
      </c>
      <c r="I6" s="68" t="s">
        <v>34</v>
      </c>
      <c r="K6" s="68">
        <v>0</v>
      </c>
      <c r="L6" s="68">
        <v>3540</v>
      </c>
      <c r="N6" s="68">
        <v>0</v>
      </c>
      <c r="O6" s="68">
        <v>3265</v>
      </c>
    </row>
    <row r="7" spans="1:15" x14ac:dyDescent="0.25">
      <c r="A7" t="s">
        <v>45</v>
      </c>
      <c r="E7" s="68">
        <v>2126</v>
      </c>
      <c r="F7" s="68">
        <v>2825</v>
      </c>
      <c r="K7" s="68">
        <v>2376</v>
      </c>
      <c r="L7" s="68">
        <v>4240</v>
      </c>
      <c r="N7" s="68">
        <v>2376</v>
      </c>
      <c r="O7" s="68">
        <v>3975</v>
      </c>
    </row>
    <row r="8" spans="1:15" x14ac:dyDescent="0.25">
      <c r="E8" s="68">
        <v>2251</v>
      </c>
      <c r="F8" s="68">
        <v>2950</v>
      </c>
    </row>
    <row r="9" spans="1:15" x14ac:dyDescent="0.25">
      <c r="A9" t="s">
        <v>348</v>
      </c>
      <c r="E9" s="68">
        <v>2376</v>
      </c>
      <c r="F9" s="68">
        <v>3075</v>
      </c>
      <c r="K9" s="69" t="str">
        <f>I6</f>
        <v>RUN 600</v>
      </c>
      <c r="L9" s="70"/>
      <c r="N9" s="69" t="str">
        <f>I6</f>
        <v>RUN 600</v>
      </c>
      <c r="O9" s="70"/>
    </row>
    <row r="10" spans="1:15" x14ac:dyDescent="0.25">
      <c r="A10" t="s">
        <v>349</v>
      </c>
      <c r="E10" s="68">
        <v>2501</v>
      </c>
      <c r="F10" s="68">
        <v>3325</v>
      </c>
      <c r="K10" s="68">
        <v>0</v>
      </c>
      <c r="L10" s="68">
        <v>3100</v>
      </c>
      <c r="N10" s="68">
        <v>0</v>
      </c>
      <c r="O10" s="68">
        <v>2950</v>
      </c>
    </row>
    <row r="11" spans="1:15" x14ac:dyDescent="0.25">
      <c r="A11" t="s">
        <v>350</v>
      </c>
      <c r="E11" s="68">
        <v>2751</v>
      </c>
      <c r="F11" s="68">
        <v>3575</v>
      </c>
      <c r="K11" s="68">
        <v>2126</v>
      </c>
      <c r="L11" s="68">
        <v>4240</v>
      </c>
      <c r="N11" s="68">
        <v>2126</v>
      </c>
      <c r="O11" s="68">
        <v>4060</v>
      </c>
    </row>
    <row r="13" spans="1:15" x14ac:dyDescent="0.25">
      <c r="C13" s="64" t="s">
        <v>41</v>
      </c>
    </row>
    <row r="15" spans="1:15" x14ac:dyDescent="0.25">
      <c r="C15" s="65" t="str">
        <f>Translation!C38</f>
        <v>Bedienung</v>
      </c>
      <c r="E15" s="66" t="s">
        <v>345</v>
      </c>
      <c r="F15" s="67"/>
      <c r="I15" s="65" t="str">
        <f>Translation!C43</f>
        <v>Der Typ des Antriebs</v>
      </c>
      <c r="K15" s="66" t="s">
        <v>346</v>
      </c>
      <c r="L15" s="67"/>
      <c r="N15" s="66" t="s">
        <v>347</v>
      </c>
      <c r="O15" s="67"/>
    </row>
    <row r="16" spans="1:15" x14ac:dyDescent="0.25">
      <c r="C16" s="68"/>
      <c r="E16" s="68"/>
      <c r="F16" s="68"/>
      <c r="I16" s="68"/>
    </row>
    <row r="17" spans="3:17" x14ac:dyDescent="0.25">
      <c r="C17" s="68" t="str">
        <f>Translation!C39</f>
        <v>händisch</v>
      </c>
      <c r="E17" s="68">
        <v>0</v>
      </c>
      <c r="F17" s="68">
        <f>2575+120</f>
        <v>2695</v>
      </c>
      <c r="I17" s="68" t="s">
        <v>33</v>
      </c>
      <c r="K17" s="69" t="str">
        <f>I17</f>
        <v>Black</v>
      </c>
      <c r="L17" s="70"/>
      <c r="N17" s="69" t="str">
        <f>I17</f>
        <v>Black</v>
      </c>
      <c r="O17" s="70"/>
    </row>
    <row r="18" spans="3:17" x14ac:dyDescent="0.25">
      <c r="C18" s="68" t="str">
        <f>Translation!C40</f>
        <v>elektrisch</v>
      </c>
      <c r="E18" s="68">
        <v>2001</v>
      </c>
      <c r="F18" s="68">
        <f>2700+120</f>
        <v>2820</v>
      </c>
      <c r="I18" s="68" t="s">
        <v>34</v>
      </c>
      <c r="K18" s="68">
        <v>0</v>
      </c>
      <c r="L18" s="68">
        <v>3540</v>
      </c>
      <c r="N18" s="68">
        <v>0</v>
      </c>
      <c r="O18" s="68">
        <v>3265</v>
      </c>
    </row>
    <row r="19" spans="3:17" x14ac:dyDescent="0.25">
      <c r="E19" s="68">
        <v>2126</v>
      </c>
      <c r="F19" s="68">
        <f>2825+120</f>
        <v>2945</v>
      </c>
      <c r="K19" s="68">
        <v>2376</v>
      </c>
      <c r="L19" s="68">
        <v>4240</v>
      </c>
      <c r="N19" s="68">
        <v>2376</v>
      </c>
      <c r="O19" s="68">
        <v>3975</v>
      </c>
    </row>
    <row r="20" spans="3:17" x14ac:dyDescent="0.25">
      <c r="C20" s="65" t="s">
        <v>296</v>
      </c>
      <c r="E20" s="68">
        <v>2251</v>
      </c>
      <c r="F20" s="68">
        <f>2950+120</f>
        <v>3070</v>
      </c>
      <c r="I20" t="str">
        <f>Translation!C42</f>
        <v>Freiraum über Sturz (F) [mm]</v>
      </c>
    </row>
    <row r="21" spans="3:17" x14ac:dyDescent="0.25">
      <c r="C21" s="68"/>
      <c r="E21" s="68">
        <v>2376</v>
      </c>
      <c r="F21" s="68">
        <f>3075+120</f>
        <v>3195</v>
      </c>
      <c r="H21" t="str">
        <f>'LHR-C'!J6</f>
        <v>elektrisch</v>
      </c>
      <c r="I21">
        <f>IF(H21=Selections!C17,90,IF(H21=Selections!C18,125,"Error"))</f>
        <v>125</v>
      </c>
      <c r="K21" s="69" t="str">
        <f>I18</f>
        <v>RUN 600</v>
      </c>
      <c r="L21" s="70"/>
      <c r="N21" s="69" t="str">
        <f>I18</f>
        <v>RUN 600</v>
      </c>
      <c r="O21" s="70"/>
    </row>
    <row r="22" spans="3:17" x14ac:dyDescent="0.25">
      <c r="C22" s="68" t="str">
        <f>Translation!C46</f>
        <v xml:space="preserve">Auf dem Sturz </v>
      </c>
      <c r="E22" s="68">
        <v>2501</v>
      </c>
      <c r="F22" s="68">
        <f>3325+120</f>
        <v>3445</v>
      </c>
      <c r="H22" t="str">
        <f>'LHR-C'!J8</f>
        <v xml:space="preserve">Auf dem Sturz </v>
      </c>
      <c r="I22">
        <f>IF(H22=Selections!C22,0,IF(H22=Selections!C23,35,"Error"))</f>
        <v>0</v>
      </c>
      <c r="K22" s="68">
        <v>0</v>
      </c>
      <c r="L22" s="68">
        <v>3100</v>
      </c>
      <c r="N22" s="68">
        <v>0</v>
      </c>
      <c r="O22" s="68">
        <v>2950</v>
      </c>
    </row>
    <row r="23" spans="3:17" x14ac:dyDescent="0.25">
      <c r="C23" s="68" t="str">
        <f>Translation!C47</f>
        <v>Auf der Obersektion</v>
      </c>
      <c r="E23" s="68">
        <v>2751</v>
      </c>
      <c r="F23" s="68">
        <f>3575+120</f>
        <v>3695</v>
      </c>
      <c r="K23" s="68">
        <v>2126</v>
      </c>
      <c r="L23" s="68">
        <v>4240</v>
      </c>
      <c r="N23" s="68">
        <v>2126</v>
      </c>
      <c r="O23" s="68">
        <v>4060</v>
      </c>
    </row>
    <row r="25" spans="3:17" x14ac:dyDescent="0.25">
      <c r="C25" s="64" t="s">
        <v>351</v>
      </c>
    </row>
    <row r="27" spans="3:17" x14ac:dyDescent="0.25">
      <c r="C27" s="65">
        <f>Translation!D38</f>
        <v>0</v>
      </c>
      <c r="I27" s="65">
        <f>Translation!D43</f>
        <v>0</v>
      </c>
      <c r="K27" s="66" t="s">
        <v>346</v>
      </c>
      <c r="L27" s="67"/>
      <c r="N27" s="66" t="s">
        <v>347</v>
      </c>
      <c r="O27" s="67"/>
      <c r="Q27" s="65">
        <f>Translation!D48</f>
        <v>0</v>
      </c>
    </row>
    <row r="28" spans="3:17" x14ac:dyDescent="0.25">
      <c r="C28" s="68"/>
      <c r="I28" s="68"/>
      <c r="Q28" s="68"/>
    </row>
    <row r="29" spans="3:17" x14ac:dyDescent="0.25">
      <c r="C29" s="68">
        <f>Translation!D39</f>
        <v>0</v>
      </c>
      <c r="I29" s="68" t="s">
        <v>33</v>
      </c>
      <c r="K29" s="69" t="str">
        <f>I29</f>
        <v>Black</v>
      </c>
      <c r="L29" s="70"/>
      <c r="N29" s="69" t="str">
        <f>I29</f>
        <v>Black</v>
      </c>
      <c r="O29" s="70"/>
      <c r="Q29" s="68" t="s">
        <v>352</v>
      </c>
    </row>
    <row r="30" spans="3:17" x14ac:dyDescent="0.25">
      <c r="C30" s="68">
        <f>Translation!D40</f>
        <v>0</v>
      </c>
      <c r="I30" s="68" t="s">
        <v>34</v>
      </c>
      <c r="K30" s="68">
        <v>0</v>
      </c>
      <c r="L30" s="68">
        <v>3540</v>
      </c>
      <c r="N30" s="68">
        <v>0</v>
      </c>
      <c r="O30" s="68">
        <v>3265</v>
      </c>
      <c r="Q30" s="68" t="s">
        <v>353</v>
      </c>
    </row>
    <row r="31" spans="3:17" x14ac:dyDescent="0.25">
      <c r="K31" s="68">
        <v>2376</v>
      </c>
      <c r="L31" s="68">
        <v>4240</v>
      </c>
      <c r="N31" s="68">
        <v>2376</v>
      </c>
      <c r="O31" s="68">
        <v>3975</v>
      </c>
    </row>
    <row r="33" spans="6:15" x14ac:dyDescent="0.25">
      <c r="K33" s="69" t="str">
        <f>I30</f>
        <v>RUN 600</v>
      </c>
      <c r="L33" s="70"/>
      <c r="N33" s="69" t="str">
        <f>I30</f>
        <v>RUN 600</v>
      </c>
      <c r="O33" s="70"/>
    </row>
    <row r="34" spans="6:15" x14ac:dyDescent="0.25">
      <c r="K34" s="68">
        <v>0</v>
      </c>
      <c r="L34" s="68">
        <v>3100</v>
      </c>
      <c r="N34" s="68">
        <v>0</v>
      </c>
      <c r="O34" s="68">
        <v>2950</v>
      </c>
    </row>
    <row r="35" spans="6:15" x14ac:dyDescent="0.25">
      <c r="K35" s="68">
        <v>2126</v>
      </c>
      <c r="L35" s="68">
        <v>4240</v>
      </c>
      <c r="N35" s="68">
        <v>2126</v>
      </c>
      <c r="O35" s="68">
        <v>4060</v>
      </c>
    </row>
    <row r="46" spans="6:15" x14ac:dyDescent="0.25">
      <c r="F46" t="s">
        <v>354</v>
      </c>
      <c r="H46" t="s">
        <v>317</v>
      </c>
      <c r="I46" t="s">
        <v>318</v>
      </c>
    </row>
    <row r="49" spans="10:27" x14ac:dyDescent="0.25">
      <c r="J49" t="s">
        <v>337</v>
      </c>
    </row>
    <row r="61" spans="10:27" ht="15.75" thickBot="1" x14ac:dyDescent="0.3"/>
    <row r="62" spans="10:27" x14ac:dyDescent="0.25">
      <c r="V62" s="2"/>
      <c r="W62" s="3"/>
      <c r="X62" s="3"/>
      <c r="Y62" s="3"/>
      <c r="Z62" s="3"/>
      <c r="AA62" s="4"/>
    </row>
    <row r="63" spans="10:27" x14ac:dyDescent="0.25">
      <c r="V63" s="6"/>
      <c r="W63" s="7"/>
      <c r="X63" s="7"/>
      <c r="Y63" s="7"/>
      <c r="Z63" s="7"/>
      <c r="AA63" s="8"/>
    </row>
    <row r="64" spans="10:27" x14ac:dyDescent="0.25">
      <c r="V64" s="6"/>
      <c r="W64" s="7"/>
      <c r="X64" s="7"/>
      <c r="Y64" s="7"/>
      <c r="Z64" s="7"/>
      <c r="AA64" s="8"/>
    </row>
    <row r="65" spans="22:27" x14ac:dyDescent="0.25">
      <c r="V65" s="6"/>
      <c r="W65" s="7"/>
      <c r="X65" s="7"/>
      <c r="Y65" s="7"/>
      <c r="Z65" s="7"/>
      <c r="AA65" s="8"/>
    </row>
    <row r="66" spans="22:27" x14ac:dyDescent="0.25">
      <c r="V66" s="6"/>
      <c r="W66" s="7"/>
      <c r="X66" s="7"/>
      <c r="Y66" s="7"/>
      <c r="Z66" s="7"/>
      <c r="AA66" s="8"/>
    </row>
    <row r="67" spans="22:27" ht="15.75" thickBot="1" x14ac:dyDescent="0.3">
      <c r="V67" s="9"/>
      <c r="W67" s="10"/>
      <c r="X67" s="10"/>
      <c r="Y67" s="10"/>
      <c r="Z67" s="10"/>
      <c r="AA67" s="1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LHR-C</vt:lpstr>
      <vt:lpstr>Translation</vt:lpstr>
      <vt:lpstr>Selections</vt:lpstr>
      <vt:lpstr>'LHR-C'!Druckbereich</vt:lpstr>
    </vt:vector>
  </TitlesOfParts>
  <Company>Loading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Fink</dc:creator>
  <cp:lastModifiedBy>Adrian Fink</cp:lastModifiedBy>
  <cp:lastPrinted>2018-12-11T17:11:17Z</cp:lastPrinted>
  <dcterms:created xsi:type="dcterms:W3CDTF">2018-12-11T17:09:57Z</dcterms:created>
  <dcterms:modified xsi:type="dcterms:W3CDTF">2020-10-29T15:00:53Z</dcterms:modified>
</cp:coreProperties>
</file>