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rian Fink.000\Desktop\"/>
    </mc:Choice>
  </mc:AlternateContent>
  <xr:revisionPtr revIDLastSave="0" documentId="8_{96FC605D-5A19-42EA-8A57-966926D6A24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21" i="1" l="1"/>
  <c r="AG111" i="1"/>
  <c r="AG91" i="1"/>
  <c r="AG81" i="1"/>
  <c r="AG73" i="1"/>
  <c r="AG64" i="1"/>
  <c r="P62" i="1"/>
  <c r="R19" i="1" s="1"/>
  <c r="P60" i="1"/>
  <c r="S19" i="1" s="1"/>
  <c r="AL45" i="1"/>
  <c r="AG43" i="1"/>
  <c r="AL42" i="1"/>
  <c r="AG42" i="1"/>
  <c r="F36" i="1"/>
  <c r="E31" i="2" s="1"/>
  <c r="G34" i="1"/>
  <c r="F29" i="2" s="1"/>
  <c r="E34" i="1"/>
  <c r="D30" i="3" s="1"/>
  <c r="AG31" i="1"/>
  <c r="AG27" i="1"/>
  <c r="S27" i="1"/>
  <c r="AG26" i="1"/>
  <c r="C26" i="1"/>
  <c r="H21" i="3" s="1"/>
  <c r="AG25" i="1"/>
  <c r="AG21" i="1"/>
  <c r="C20" i="1"/>
  <c r="AG13" i="1"/>
  <c r="E13" i="1"/>
  <c r="F3" i="3" s="1"/>
  <c r="AG12" i="1"/>
  <c r="W2" i="1" s="1"/>
  <c r="O5" i="1"/>
  <c r="AG3" i="1"/>
  <c r="AG2" i="1"/>
  <c r="AE1" i="1"/>
  <c r="AG128" i="1" s="1"/>
  <c r="AG7" i="1" l="1"/>
  <c r="AG29" i="1"/>
  <c r="V68" i="1"/>
  <c r="AG101" i="1"/>
  <c r="C40" i="2"/>
  <c r="C40" i="3"/>
  <c r="L63" i="1"/>
  <c r="L60" i="1"/>
  <c r="AG51" i="1"/>
  <c r="AG63" i="1"/>
  <c r="AG66" i="1"/>
  <c r="AG71" i="1"/>
  <c r="AG79" i="1"/>
  <c r="AG89" i="1"/>
  <c r="AG97" i="1"/>
  <c r="AG108" i="1"/>
  <c r="E42" i="2" s="1"/>
  <c r="AG119" i="1"/>
  <c r="D3" i="2"/>
  <c r="F30" i="3"/>
  <c r="C16" i="1"/>
  <c r="H3" i="1"/>
  <c r="AG16" i="1"/>
  <c r="AG22" i="1"/>
  <c r="AG41" i="1"/>
  <c r="AG45" i="1"/>
  <c r="AG57" i="1"/>
  <c r="AG67" i="1"/>
  <c r="AG72" i="1"/>
  <c r="AG80" i="1"/>
  <c r="AG90" i="1"/>
  <c r="AG99" i="1"/>
  <c r="AG110" i="1"/>
  <c r="AG120" i="1"/>
  <c r="H9" i="1" s="1"/>
  <c r="E32" i="3"/>
  <c r="B21" i="2"/>
  <c r="AG4" i="1"/>
  <c r="H5" i="1" s="1"/>
  <c r="AG8" i="1"/>
  <c r="AG32" i="1"/>
  <c r="R60" i="1" s="1"/>
  <c r="AG62" i="1"/>
  <c r="AG74" i="1"/>
  <c r="AG82" i="1"/>
  <c r="AG92" i="1"/>
  <c r="AG102" i="1"/>
  <c r="AG112" i="1"/>
  <c r="AG122" i="1"/>
  <c r="D29" i="2"/>
  <c r="AG28" i="1"/>
  <c r="AG36" i="1"/>
  <c r="AG48" i="1"/>
  <c r="AG75" i="1"/>
  <c r="AG85" i="1"/>
  <c r="AG93" i="1"/>
  <c r="AG103" i="1"/>
  <c r="AG113" i="1"/>
  <c r="AG124" i="1"/>
  <c r="B58" i="1" s="1"/>
  <c r="AG49" i="1"/>
  <c r="AG55" i="1"/>
  <c r="AG60" i="1"/>
  <c r="AG65" i="1"/>
  <c r="AG68" i="1"/>
  <c r="AG76" i="1"/>
  <c r="AG86" i="1"/>
  <c r="AG94" i="1"/>
  <c r="AG104" i="1"/>
  <c r="AG115" i="1"/>
  <c r="AG126" i="1"/>
  <c r="H11" i="1" s="1"/>
  <c r="AG5" i="1"/>
  <c r="AG14" i="1"/>
  <c r="AG20" i="1"/>
  <c r="AG30" i="1"/>
  <c r="AG44" i="1"/>
  <c r="AG50" i="1"/>
  <c r="AG69" i="1"/>
  <c r="AG77" i="1"/>
  <c r="AG87" i="1"/>
  <c r="AG95" i="1"/>
  <c r="AG106" i="1"/>
  <c r="AG116" i="1"/>
  <c r="AG127" i="1"/>
  <c r="AG6" i="1"/>
  <c r="Q11" i="1" s="1"/>
  <c r="AG15" i="1"/>
  <c r="AG35" i="1"/>
  <c r="AG37" i="1"/>
  <c r="AG56" i="1"/>
  <c r="AG61" i="1"/>
  <c r="C60" i="1" s="1"/>
  <c r="AG70" i="1"/>
  <c r="AG78" i="1"/>
  <c r="AG88" i="1"/>
  <c r="AG96" i="1"/>
  <c r="AG107" i="1"/>
  <c r="E42" i="3" s="1"/>
  <c r="AG117" i="1"/>
  <c r="D11" i="1" l="1"/>
  <c r="C61" i="1"/>
  <c r="V63" i="1"/>
  <c r="AA68" i="1"/>
  <c r="Y31" i="1"/>
  <c r="K14" i="1"/>
  <c r="K13" i="1"/>
  <c r="T61" i="1"/>
  <c r="AA61" i="1"/>
  <c r="Z61" i="1"/>
  <c r="R53" i="1"/>
  <c r="C42" i="2"/>
  <c r="C42" i="3"/>
  <c r="Y26" i="1"/>
  <c r="G62" i="1"/>
  <c r="Q35" i="1"/>
  <c r="C39" i="1"/>
  <c r="B53" i="1"/>
  <c r="R59" i="1"/>
  <c r="R51" i="1"/>
  <c r="B56" i="1"/>
  <c r="C65" i="1"/>
  <c r="H9" i="3"/>
  <c r="B9" i="2"/>
  <c r="R54" i="1"/>
  <c r="AB61" i="1"/>
  <c r="Y36" i="1"/>
  <c r="Z68" i="1"/>
  <c r="I23" i="1"/>
  <c r="X45" i="1"/>
  <c r="V61" i="1"/>
  <c r="C62" i="1"/>
  <c r="R61" i="1"/>
  <c r="I32" i="1"/>
  <c r="I36" i="1" s="1"/>
  <c r="B32" i="1"/>
  <c r="O7" i="1"/>
  <c r="C64" i="1"/>
  <c r="H7" i="1"/>
  <c r="M59" i="1"/>
  <c r="R45" i="1"/>
  <c r="H63" i="1"/>
  <c r="B59" i="1"/>
  <c r="H60" i="1"/>
  <c r="B57" i="1"/>
  <c r="R58" i="1"/>
  <c r="C66" i="1"/>
  <c r="G65" i="1"/>
  <c r="B55" i="1"/>
  <c r="I21" i="1"/>
  <c r="M61" i="1"/>
  <c r="C63" i="1"/>
  <c r="I28" i="1"/>
  <c r="X61" i="1"/>
  <c r="I26" i="1"/>
  <c r="I25" i="1"/>
  <c r="I17" i="1"/>
  <c r="R47" i="1"/>
  <c r="G59" i="1"/>
  <c r="L37" i="1"/>
  <c r="L66" i="1"/>
  <c r="Q13" i="1" s="1"/>
  <c r="E37" i="1"/>
  <c r="F43" i="1" l="1"/>
  <c r="C36" i="1"/>
  <c r="C48" i="3"/>
  <c r="C48" i="2"/>
  <c r="C44" i="3"/>
  <c r="C44" i="2"/>
  <c r="C46" i="3"/>
  <c r="C46" i="2"/>
</calcChain>
</file>

<file path=xl/sharedStrings.xml><?xml version="1.0" encoding="utf-8"?>
<sst xmlns="http://schemas.openxmlformats.org/spreadsheetml/2006/main" count="922" uniqueCount="820">
  <si>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</si>
  <si>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</si>
  <si>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</si>
  <si>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</si>
  <si>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</si>
  <si>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</si>
  <si>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</si>
  <si>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</si>
  <si>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</si>
  <si>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</si>
  <si>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</si>
  <si>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</si>
  <si>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</si>
  <si>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</si>
  <si>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</si>
  <si>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</si>
  <si>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</si>
  <si>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</si>
  <si>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</si>
  <si>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</si>
  <si>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</si>
  <si>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</si>
  <si>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</si>
  <si>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</si>
  <si>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</si>
  <si>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</si>
  <si>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</si>
  <si>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</si>
  <si>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</si>
  <si>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</si>
  <si>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</si>
  <si>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</si>
  <si>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</si>
  <si>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8000 mm; H max 6500 mm; max. 40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</si>
  <si>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</si>
  <si>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</si>
  <si>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</si>
  <si>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</si>
  <si>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</si>
  <si>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</si>
  <si>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</si>
  <si>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</si>
  <si>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</si>
  <si>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</si>
  <si>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</si>
  <si>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</si>
  <si>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</si>
  <si>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</si>
  <si>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</si>
  <si>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</si>
  <si>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</si>
  <si>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</si>
  <si>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</si>
  <si>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</si>
  <si>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</si>
  <si>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</si>
  <si>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</si>
  <si>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</si>
  <si>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</si>
  <si>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</si>
  <si>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</si>
  <si>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</si>
  <si>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</si>
  <si>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</si>
  <si>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</si>
  <si>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</si>
  <si>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</si>
  <si>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</si>
  <si>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</si>
  <si>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</si>
  <si>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</si>
  <si>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</si>
  <si>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</si>
  <si>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</si>
  <si>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</si>
  <si>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</si>
  <si>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</si>
  <si>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</si>
  <si>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</si>
  <si>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</si>
  <si>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</si>
  <si>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</si>
  <si>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VERTIKÁLNÍ VEDENÍ (VL)</t>
  </si>
  <si>
    <t>VERTICAL LIFT SYSTEM (VL)</t>
  </si>
  <si>
    <t>VERTIKALER BESCHLAG (VL)</t>
  </si>
  <si>
    <t>PROWADZENIE PIONOWE (VL)</t>
  </si>
  <si>
    <t>LEVEE VERTICALE (VL)</t>
  </si>
  <si>
    <t>VERTICAAL PLAFOND SYSTEEM (VL)</t>
  </si>
  <si>
    <t>Vertikaaltõste</t>
  </si>
  <si>
    <t>SUORANOSTO (VL)</t>
  </si>
  <si>
    <t>ВЕРТИКАЛЬНЫЙ ПОДЪЕМ (VL)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</si>
  <si>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</si>
  <si>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</si>
  <si>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</si>
  <si>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</si>
  <si>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</si>
  <si>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</si>
  <si>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</si>
  <si>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</si>
  <si>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</si>
  <si>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</si>
  <si>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</si>
  <si>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</si>
  <si>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</si>
  <si>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</si>
  <si>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</si>
  <si>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</si>
  <si>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</si>
  <si>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</si>
  <si>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</si>
  <si>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</si>
  <si>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</si>
  <si>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</si>
  <si>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</si>
  <si>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BxH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</si>
  <si>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</si>
  <si>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</si>
  <si>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</si>
  <si>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</si>
  <si>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</si>
  <si>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</si>
  <si>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</si>
  <si>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</si>
  <si>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</si>
  <si>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</si>
  <si>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</si>
  <si>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</si>
  <si>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</si>
  <si>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</si>
  <si>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</si>
  <si>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</si>
  <si>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</si>
  <si>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</si>
  <si>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</si>
  <si>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</si>
  <si>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</si>
  <si>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</si>
  <si>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</si>
  <si>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</si>
  <si>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cůadding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</si>
  <si>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</si>
  <si>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</si>
  <si>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</si>
  <si>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</si>
  <si>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</si>
  <si>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</si>
  <si>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</si>
  <si>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</si>
  <si>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</si>
  <si>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</si>
  <si>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</si>
  <si>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</si>
  <si>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</si>
  <si>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</si>
  <si>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</si>
  <si>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</si>
  <si>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</si>
  <si>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</si>
  <si>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</si>
  <si>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</si>
  <si>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</si>
  <si>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</si>
  <si>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</si>
  <si>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</si>
  <si>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</si>
  <si>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</si>
  <si>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</si>
  <si>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</si>
  <si>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</si>
  <si>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</si>
  <si>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</si>
  <si>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</si>
  <si>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</si>
  <si>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</si>
  <si>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</si>
  <si>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</si>
  <si>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</si>
  <si>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</si>
  <si>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</si>
  <si>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</si>
  <si>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</si>
  <si>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</si>
  <si>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</si>
  <si>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</si>
  <si>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</si>
  <si>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</si>
  <si>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</si>
  <si>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</si>
  <si>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Elektrisch: (bij elektrisch bediende deuren)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</si>
  <si>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</si>
  <si>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</si>
  <si>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</si>
  <si>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</si>
  <si>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</si>
  <si>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</si>
  <si>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</si>
  <si>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</si>
  <si>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</si>
  <si>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</si>
  <si>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</si>
  <si>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</si>
  <si>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</si>
  <si>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</si>
  <si>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</si>
  <si>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</si>
  <si>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</si>
  <si>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</si>
  <si>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</si>
  <si>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</si>
  <si>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</si>
  <si>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</si>
  <si>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</si>
  <si>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</si>
  <si>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</si>
  <si>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</si>
  <si>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</si>
  <si>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</si>
  <si>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</si>
  <si>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</si>
  <si>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</si>
  <si>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</si>
  <si>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</si>
  <si>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</si>
  <si>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</si>
  <si>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</si>
  <si>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</si>
  <si>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</si>
  <si>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</si>
  <si>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</si>
  <si>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</si>
  <si>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</si>
  <si>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</si>
  <si>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</si>
  <si>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</si>
  <si>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</si>
  <si>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</si>
  <si>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NEZBYTNÝ VOLNÝ PROSTOR</t>
  </si>
  <si>
    <t>NECESSARY FREE                  ROOM</t>
  </si>
  <si>
    <t>BENÖTIGTER FREIRAUM</t>
  </si>
  <si>
    <t>NIEZBĘDNA            WOLNA          PRZESTRZEŃ</t>
  </si>
  <si>
    <t>ESPACE                             LIBRE       NECCESSARIE</t>
  </si>
  <si>
    <t>EXTRA                                      VRIJE                                        RUIMTE                                  BIJ                                 MOTOR/                                               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</si>
  <si>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</si>
  <si>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</si>
  <si>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</si>
  <si>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</si>
  <si>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</si>
  <si>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</si>
  <si>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</si>
  <si>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</si>
  <si>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</si>
  <si>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</si>
  <si>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</si>
  <si>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</si>
  <si>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</si>
  <si>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</si>
  <si>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</si>
  <si>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</si>
  <si>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</si>
  <si>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</si>
  <si>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</si>
  <si>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</si>
  <si>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</si>
  <si>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</si>
  <si>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</si>
  <si>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</si>
  <si>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</si>
  <si>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</si>
  <si>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</si>
  <si>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</si>
  <si>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</si>
  <si>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</si>
  <si>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</si>
  <si>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</si>
  <si>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</si>
  <si>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</si>
  <si>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</si>
  <si>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</si>
  <si>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</si>
  <si>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</si>
  <si>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</si>
  <si>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</si>
  <si>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</si>
  <si>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</si>
  <si>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</si>
  <si>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</si>
  <si>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</si>
  <si>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</si>
  <si>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</si>
  <si>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</si>
  <si>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</si>
  <si>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</si>
  <si>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</si>
  <si>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</si>
  <si>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</si>
  <si>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</si>
  <si>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 x 400 mm kontrollerile</t>
  </si>
  <si>
    <t>kiinnityspinta ohjauspaneelia varten ,mitat 250 x 400 mm</t>
  </si>
  <si>
    <t>монтажная поверхность для блока управления 250 x 400 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</si>
  <si>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</si>
  <si>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</si>
  <si>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</si>
  <si>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</si>
  <si>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</si>
  <si>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</si>
  <si>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</si>
  <si>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</si>
  <si>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</si>
  <si>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</si>
  <si>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</si>
  <si>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</si>
  <si>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</si>
  <si>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</si>
  <si>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</si>
  <si>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</si>
  <si>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</si>
  <si>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</si>
  <si>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</si>
  <si>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</si>
  <si>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</si>
  <si>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</si>
  <si>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</si>
  <si>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</si>
  <si>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</si>
  <si>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</si>
  <si>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</si>
  <si>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</si>
  <si>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</si>
  <si>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</si>
  <si>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</si>
  <si>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</si>
  <si>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</si>
  <si>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</si>
  <si>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</si>
  <si>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</si>
  <si>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</si>
  <si>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</si>
  <si>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</si>
  <si>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</si>
  <si>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</si>
  <si>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</si>
  <si>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</si>
  <si>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</si>
  <si>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</si>
  <si>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W =</t>
  </si>
  <si>
    <t>L/R</t>
  </si>
  <si>
    <t>F</t>
  </si>
  <si>
    <t>H+400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</si>
  <si>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</si>
  <si>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</si>
  <si>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</si>
  <si>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</si>
  <si>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</si>
  <si>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</si>
  <si>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</si>
  <si>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</si>
  <si>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</si>
  <si>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H =</t>
  </si>
  <si>
    <t>ширина проема</t>
  </si>
  <si>
    <t xml:space="preserve">F = 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</si>
  <si>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</si>
  <si>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</si>
  <si>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</si>
  <si>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</si>
  <si>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</si>
  <si>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</si>
  <si>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</si>
  <si>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A = </t>
  </si>
  <si>
    <t>H=&lt;3300</t>
  </si>
  <si>
    <t>H+130</t>
  </si>
  <si>
    <t>http://door-documents.com/en/indy-installation-drawing-vl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</si>
  <si>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</si>
  <si>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</si>
  <si>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</si>
  <si>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</si>
  <si>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</si>
  <si>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</si>
  <si>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</si>
  <si>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L = </t>
  </si>
  <si>
    <t>3300&lt;H=&lt;5500</t>
  </si>
  <si>
    <t>H+150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</si>
  <si>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</si>
  <si>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</si>
  <si>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</si>
  <si>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</si>
  <si>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</si>
  <si>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</si>
  <si>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</si>
  <si>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</si>
  <si>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</si>
  <si>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R = </t>
  </si>
  <si>
    <t>H&gt;5500</t>
  </si>
  <si>
    <t>H+180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</si>
  <si>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</si>
  <si>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</si>
  <si>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</si>
  <si>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</si>
  <si>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</si>
  <si>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</si>
  <si>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</si>
  <si>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</si>
  <si>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</si>
  <si>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D = </t>
  </si>
  <si>
    <t>D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</si>
  <si>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</si>
  <si>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</si>
  <si>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</si>
  <si>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</si>
  <si>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</si>
  <si>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</si>
  <si>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</si>
  <si>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</si>
  <si>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</si>
  <si>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 xml:space="preserve">H=&lt;3300 </t>
  </si>
  <si>
    <t>=&gt;450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</si>
  <si>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</si>
  <si>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</si>
  <si>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</si>
  <si>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</si>
  <si>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</si>
  <si>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</si>
  <si>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</si>
  <si>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</si>
  <si>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</si>
  <si>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=&gt;500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</si>
  <si>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</si>
  <si>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</si>
  <si>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</si>
  <si>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</si>
  <si>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</si>
  <si>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</si>
  <si>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</si>
  <si>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</si>
  <si>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</si>
  <si>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=&gt; 550</t>
  </si>
  <si>
    <t>030-1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</si>
  <si>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</si>
  <si>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</si>
  <si>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</si>
  <si>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</si>
  <si>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</si>
  <si>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</si>
  <si>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</si>
  <si>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</si>
  <si>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</si>
  <si>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</si>
  <si>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</si>
  <si>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</si>
  <si>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</si>
  <si>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</si>
  <si>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</si>
  <si>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</si>
  <si>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</si>
  <si>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</si>
  <si>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</si>
  <si>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</si>
  <si>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</si>
  <si>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</si>
  <si>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</si>
  <si>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</si>
  <si>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</si>
  <si>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</si>
  <si>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</si>
  <si>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</si>
  <si>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</si>
  <si>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</si>
  <si>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</si>
  <si>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</si>
  <si>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</si>
  <si>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</si>
  <si>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</si>
  <si>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</si>
  <si>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</si>
  <si>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</si>
  <si>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</si>
  <si>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</si>
  <si>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</si>
  <si>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</si>
  <si>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</si>
  <si>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</si>
  <si>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</si>
  <si>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</si>
  <si>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</si>
  <si>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</si>
  <si>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</si>
  <si>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</si>
  <si>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</si>
  <si>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</si>
  <si>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</si>
  <si>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</si>
  <si>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</si>
  <si>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</si>
  <si>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</si>
  <si>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</si>
  <si>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</si>
  <si>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</si>
  <si>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</si>
  <si>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</si>
  <si>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</si>
  <si>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</si>
  <si>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</si>
  <si>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</si>
  <si>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</si>
  <si>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</si>
  <si>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</si>
  <si>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</si>
  <si>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</si>
  <si>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</si>
  <si>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</si>
  <si>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</si>
  <si>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</si>
  <si>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</si>
  <si>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</si>
  <si>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</si>
  <si>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</si>
  <si>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</si>
  <si>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</si>
  <si>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</si>
  <si>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</si>
  <si>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</si>
  <si>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</si>
  <si>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</si>
  <si>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</si>
  <si>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</si>
  <si>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</si>
  <si>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</si>
  <si>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</si>
  <si>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</si>
  <si>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</si>
  <si>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</si>
  <si>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</si>
  <si>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</si>
  <si>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</si>
  <si>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</si>
  <si>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</si>
  <si>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</si>
  <si>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</si>
  <si>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</si>
  <si>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</si>
  <si>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</si>
  <si>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</si>
  <si>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</si>
  <si>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</si>
  <si>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</si>
  <si>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</si>
  <si>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</si>
  <si>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</si>
  <si>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</si>
  <si>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</si>
  <si>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</si>
  <si>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</si>
  <si>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</si>
  <si>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</si>
  <si>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</si>
  <si>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</si>
  <si>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</si>
  <si>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</si>
  <si>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</si>
  <si>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</si>
  <si>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</si>
  <si>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</si>
  <si>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</si>
  <si>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</si>
  <si>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</si>
  <si>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</si>
  <si>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</si>
  <si>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</si>
  <si>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</si>
  <si>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</si>
  <si>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</si>
  <si>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</si>
  <si>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</si>
  <si>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</si>
  <si>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</si>
  <si>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</si>
  <si>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</si>
  <si>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</si>
  <si>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</si>
  <si>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</si>
  <si>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</si>
  <si>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</si>
  <si>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</si>
  <si>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</si>
  <si>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</si>
  <si>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</si>
  <si>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</si>
  <si>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</si>
  <si>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</si>
  <si>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</si>
  <si>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</si>
  <si>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</si>
  <si>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</si>
  <si>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</si>
  <si>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</si>
  <si>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</si>
  <si>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</si>
  <si>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</si>
  <si>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</si>
  <si>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</si>
  <si>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</si>
  <si>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</si>
  <si>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</si>
  <si>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</si>
  <si>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</si>
  <si>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</si>
  <si>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</si>
  <si>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</si>
  <si>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</si>
  <si>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</si>
  <si>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</si>
  <si>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</si>
  <si>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</si>
  <si>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INBOUWTEKENING VERTICAAL PLAFOND SYSTEEM (VL)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</si>
  <si>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</si>
  <si>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</si>
  <si>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</si>
  <si>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</si>
  <si>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</si>
  <si>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</si>
  <si>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</si>
  <si>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</si>
  <si>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</si>
  <si>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STAVEBNÍ PŘIPRAVENOST VERTIKÁLNÍ VEDENÍ (VL)</t>
  </si>
  <si>
    <t>INSTALLATION DRAWING VERTICAL LIFT SYSTEM (VL)</t>
  </si>
  <si>
    <t>BAUBEREITSCHAFT VERTIKALER BESCHLAG (VL)</t>
  </si>
  <si>
    <t>PRZYGOTOWANIE KONSTRUKCYJNE PROWADZENIE PIONOWE (VL)</t>
  </si>
  <si>
    <t>PLAN DE RESERVATIONS &amp; ENCOMBREMENTS LEVEE VERTICALE (VL-L)</t>
  </si>
  <si>
    <t>Paigaldsujoonis vertikaaltõstele (VL)</t>
  </si>
  <si>
    <t>ASENNUSPIIRUSTUS SUORANOSTO (VL)</t>
  </si>
  <si>
    <t>МОНТАЖНЫЙ ЧЕРТЕЖ СИСТЕМА С ВЕРТИКАЛЬНЫМ ПОДЪЕМОМ (VL)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</si>
  <si>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</si>
  <si>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</si>
  <si>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</si>
  <si>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</si>
  <si>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</si>
  <si>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</si>
  <si>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</si>
  <si>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</si>
  <si>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</si>
  <si>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</si>
  <si>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</si>
  <si>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</si>
  <si>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</si>
  <si>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</si>
  <si>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</si>
  <si>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</si>
  <si>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</si>
  <si>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</si>
  <si>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</si>
  <si>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</si>
  <si>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</si>
  <si>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</si>
  <si>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</si>
  <si>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vajalik: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</si>
  <si>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</si>
  <si>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</si>
  <si>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</si>
  <si>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</si>
  <si>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</si>
  <si>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</si>
  <si>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</si>
  <si>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</si>
  <si>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</si>
  <si>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</si>
  <si>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</si>
  <si>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</si>
  <si>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</si>
  <si>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</si>
  <si>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</si>
  <si>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</si>
  <si>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</si>
  <si>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</si>
  <si>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</si>
  <si>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</si>
  <si>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</si>
  <si>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</si>
  <si>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</si>
  <si>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</si>
  <si>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</si>
  <si>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</si>
  <si>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</si>
  <si>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</si>
  <si>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</si>
  <si>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</si>
  <si>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</si>
  <si>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</si>
  <si>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</si>
  <si>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</si>
  <si>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</si>
  <si>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</si>
  <si>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</si>
  <si>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</si>
  <si>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</si>
  <si>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</si>
  <si>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</si>
  <si>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</si>
  <si>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</si>
  <si>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</si>
  <si>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</si>
  <si>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</si>
  <si>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</si>
  <si>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</si>
  <si>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</si>
  <si>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</si>
  <si>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</si>
  <si>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</si>
  <si>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</si>
  <si>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</si>
  <si>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</si>
  <si>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</si>
  <si>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</si>
  <si>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</si>
  <si>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</si>
  <si>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</si>
  <si>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</si>
  <si>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</si>
  <si>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</si>
  <si>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</si>
  <si>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</si>
  <si>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</si>
  <si>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</si>
  <si>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</si>
  <si>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</si>
  <si>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</si>
  <si>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</si>
  <si>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</si>
  <si>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</si>
  <si>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</si>
  <si>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</si>
  <si>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</si>
  <si>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</si>
  <si>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W&lt;2000 -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</si>
  <si>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</si>
  <si>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</si>
  <si>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</si>
  <si>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</si>
  <si>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</si>
  <si>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</si>
  <si>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</si>
  <si>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</si>
  <si>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</si>
  <si>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</si>
  <si>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</si>
  <si>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</si>
  <si>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</si>
  <si>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</si>
  <si>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</si>
  <si>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</si>
  <si>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</si>
  <si>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když H=&lt;3300</t>
  </si>
  <si>
    <t>if H=&lt;3300</t>
  </si>
  <si>
    <t>Wenn H=&lt;3300</t>
  </si>
  <si>
    <t>jeżeli H=&lt;3300</t>
  </si>
  <si>
    <t>SI H=&lt;3300</t>
  </si>
  <si>
    <t>als H=&lt;3300</t>
  </si>
  <si>
    <t>Kui  H=&lt;3300</t>
  </si>
  <si>
    <t>jos H=&lt;3300</t>
  </si>
  <si>
    <t>при H=&lt;3300</t>
  </si>
  <si>
    <t>když 3300&lt;H=&lt;5950</t>
  </si>
  <si>
    <t>if 3300&lt;H=&lt;5950</t>
  </si>
  <si>
    <t>Wenn 3300&lt;H=&lt;5950</t>
  </si>
  <si>
    <t>jeżeli 3300&lt;H=&lt;5950</t>
  </si>
  <si>
    <t>SI 3300&lt;H=&lt;5950</t>
  </si>
  <si>
    <t>als 3300&lt;H=&lt;5950</t>
  </si>
  <si>
    <t>kui 3300&lt;H=&lt;5950</t>
  </si>
  <si>
    <t>jos 3300&lt;H=&lt;5950</t>
  </si>
  <si>
    <t>при 3300&lt;H=&lt;5950</t>
  </si>
  <si>
    <t>když H=&gt;5950</t>
  </si>
  <si>
    <t>if H=&gt;5950</t>
  </si>
  <si>
    <t>Wenn H=&gt;5950</t>
  </si>
  <si>
    <t>jeżeli H=&gt;5950</t>
  </si>
  <si>
    <t>SI H=&gt;5950</t>
  </si>
  <si>
    <t>als H=&gt;5950</t>
  </si>
  <si>
    <t>Kui H=&gt;5950</t>
  </si>
  <si>
    <t>jos H=&gt;5950</t>
  </si>
  <si>
    <t>при H=&gt;5950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</si>
  <si>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</si>
  <si>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</si>
  <si>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</si>
  <si>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</si>
  <si>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</si>
  <si>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</si>
  <si>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</si>
  <si>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</si>
  <si>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</si>
  <si>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</si>
  <si>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</si>
  <si>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</si>
  <si>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</si>
  <si>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</si>
  <si>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</si>
  <si>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</si>
  <si>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</si>
  <si>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</si>
  <si>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</si>
  <si>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</si>
  <si>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</si>
  <si>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</si>
  <si>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</si>
  <si>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</si>
  <si>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osa hřídele H+180 mm</t>
  </si>
  <si>
    <t>When 1 1/4 "shaft, axis of shaft is automatically H + 180 mm</t>
  </si>
  <si>
    <t>Wenn 1 1/4 "Welle und Wellenachse H + 180 mm</t>
  </si>
  <si>
    <t>Po 1 1/4 "Wał i osi wału H + 180 mm</t>
  </si>
  <si>
    <t>Lorsque 1 1/4 "arbre et axe de l'arbre H + 180 mm</t>
  </si>
  <si>
    <t>Wanneer 1 1/4 "as en as H + 180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</si>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</sst>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sz val="10"/>
      <name val="Arial"/>
      <family val="2"/>
    </font>
    <font>
      <sz val="11"/>
      <color indexed="18"/>
      <name val="Calibri"/>
      <family val="2"/>
      <charset val="238"/>
    </font>
    <font>
      <sz val="12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1" applyFont="1"/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6" fillId="0" borderId="0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/>
    <xf numFmtId="0" fontId="0" fillId="0" borderId="0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9" fillId="0" borderId="0" xfId="0" applyFont="1"/>
    <xf numFmtId="0" fontId="8" fillId="0" borderId="0" xfId="0" applyFont="1" applyBorder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12" xfId="0" applyBorder="1"/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0" fillId="0" borderId="0" xfId="0" applyBorder="1" applyAlignment="1">
      <alignment textRotation="90"/>
    </xf>
    <xf numFmtId="0" fontId="11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textRotation="90"/>
    </xf>
    <xf numFmtId="0" fontId="10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textRotation="90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left" wrapText="1"/>
    </xf>
    <xf numFmtId="0" fontId="16" fillId="0" borderId="0" xfId="0" applyFont="1"/>
    <xf numFmtId="0" fontId="11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7" fillId="0" borderId="12" xfId="0" applyFont="1" applyBorder="1"/>
    <xf numFmtId="0" fontId="17" fillId="0" borderId="0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1" xfId="0" applyFill="1" applyBorder="1"/>
    <xf numFmtId="0" fontId="0" fillId="0" borderId="16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6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0" fillId="0" borderId="14" xfId="0" applyFill="1" applyBorder="1" applyAlignment="1"/>
    <xf numFmtId="0" fontId="4" fillId="0" borderId="11" xfId="0" applyFont="1" applyFill="1" applyBorder="1" applyAlignment="1" applyProtection="1"/>
    <xf numFmtId="0" fontId="4" fillId="0" borderId="0" xfId="1" applyFont="1"/>
    <xf numFmtId="0" fontId="18" fillId="0" borderId="14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18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/>
    <xf numFmtId="49" fontId="0" fillId="0" borderId="14" xfId="0" applyNumberFormat="1" applyBorder="1"/>
    <xf numFmtId="0" fontId="18" fillId="0" borderId="11" xfId="0" applyFont="1" applyBorder="1"/>
    <xf numFmtId="0" fontId="4" fillId="0" borderId="0" xfId="1" applyFont="1" applyFill="1"/>
    <xf numFmtId="0" fontId="18" fillId="0" borderId="1" xfId="0" applyFont="1" applyBorder="1"/>
    <xf numFmtId="0" fontId="18" fillId="0" borderId="0" xfId="0" applyFont="1"/>
    <xf numFmtId="49" fontId="0" fillId="0" borderId="0" xfId="0" applyNumberFormat="1"/>
    <xf numFmtId="0" fontId="18" fillId="0" borderId="15" xfId="0" applyFont="1" applyBorder="1"/>
    <xf numFmtId="0" fontId="0" fillId="3" borderId="16" xfId="0" applyFill="1" applyBorder="1"/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49" fontId="0" fillId="0" borderId="14" xfId="0" applyNumberFormat="1" applyFill="1" applyBorder="1"/>
    <xf numFmtId="0" fontId="18" fillId="0" borderId="11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3" borderId="4" xfId="0" applyFill="1" applyBorder="1"/>
    <xf numFmtId="0" fontId="1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/>
    </xf>
    <xf numFmtId="49" fontId="18" fillId="0" borderId="14" xfId="0" applyNumberFormat="1" applyFont="1" applyBorder="1"/>
    <xf numFmtId="0" fontId="0" fillId="0" borderId="13" xfId="0" applyFill="1" applyBorder="1" applyAlignment="1">
      <alignment horizontal="left"/>
    </xf>
    <xf numFmtId="0" fontId="0" fillId="0" borderId="16" xfId="0" applyBorder="1"/>
    <xf numFmtId="0" fontId="1" fillId="0" borderId="18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/>
    </xf>
    <xf numFmtId="0" fontId="18" fillId="0" borderId="14" xfId="0" applyFont="1" applyFill="1" applyBorder="1"/>
    <xf numFmtId="49" fontId="18" fillId="0" borderId="14" xfId="0" applyNumberFormat="1" applyFont="1" applyFill="1" applyBorder="1"/>
    <xf numFmtId="0" fontId="20" fillId="0" borderId="11" xfId="0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/>
    </xf>
    <xf numFmtId="0" fontId="20" fillId="0" borderId="0" xfId="0" applyFont="1" applyBorder="1"/>
    <xf numFmtId="0" fontId="21" fillId="0" borderId="0" xfId="1" applyFont="1"/>
    <xf numFmtId="0" fontId="4" fillId="0" borderId="0" xfId="1" applyFont="1" applyFill="1" applyBorder="1"/>
    <xf numFmtId="0" fontId="4" fillId="0" borderId="0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17" fillId="0" borderId="0" xfId="0" applyFont="1"/>
    <xf numFmtId="0" fontId="23" fillId="0" borderId="0" xfId="0" applyFont="1"/>
    <xf numFmtId="0" fontId="24" fillId="0" borderId="0" xfId="0" applyFont="1"/>
    <xf numFmtId="0" fontId="0" fillId="0" borderId="2" xfId="0" applyBorder="1"/>
    <xf numFmtId="0" fontId="0" fillId="0" borderId="6" xfId="0" applyBorder="1"/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vertical="center" textRotation="90"/>
    </xf>
    <xf numFmtId="0" fontId="11" fillId="0" borderId="12" xfId="0" applyFont="1" applyBorder="1" applyAlignment="1">
      <alignment textRotation="90"/>
    </xf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textRotation="90"/>
    </xf>
    <xf numFmtId="0" fontId="11" fillId="0" borderId="0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right" textRotation="90"/>
    </xf>
    <xf numFmtId="0" fontId="10" fillId="0" borderId="0" xfId="0" applyFont="1" applyBorder="1" applyAlignment="1">
      <alignment horizontal="left" textRotation="90"/>
    </xf>
    <xf numFmtId="0" fontId="1" fillId="0" borderId="0" xfId="0" applyFont="1" applyBorder="1" applyAlignment="1">
      <alignment horizontal="right" vertical="center" textRotation="90"/>
    </xf>
    <xf numFmtId="0" fontId="1" fillId="0" borderId="0" xfId="0" applyFont="1" applyAlignment="1">
      <alignment horizontal="right" vertical="center" textRotation="90"/>
    </xf>
    <xf numFmtId="0" fontId="10" fillId="0" borderId="0" xfId="0" applyFont="1" applyBorder="1" applyAlignment="1">
      <alignment horizontal="left" vertical="center" textRotation="90"/>
    </xf>
    <xf numFmtId="0" fontId="10" fillId="0" borderId="0" xfId="0" applyFont="1" applyBorder="1" applyAlignment="1">
      <alignment horizontal="right" vertical="top" textRotation="90"/>
    </xf>
    <xf numFmtId="0" fontId="14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top" textRotation="90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indent="3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4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6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/>
    </xf>
    <xf numFmtId="0" fontId="0" fillId="0" borderId="16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 vertical="center"/>
    </xf>
  </cellXfs>
  <cellStyles count="2">
    <cellStyle name="normální_List1" xfId="1" xr:uid="{00000000-0005-0000-0000-000001000000}"/>
    <cellStyle name="Standard" xfId="0" builtinId="0"/>
  </cellStyles>
  <dxfs count="3">
    <dxf>
      <font>
        <color theme="9" tint="0.39994506668294322"/>
      </font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904875</xdr:colOff>
      <xdr:row>12</xdr:row>
      <xdr:rowOff>219075</xdr:rowOff>
    </xdr:from>
    <xdr:to>
      <xdr:col>18</xdr:col>
      <xdr:colOff>371475</xdr:colOff>
      <xdr:row>35</xdr:row>
      <xdr:rowOff>123825</xdr:rowOff>
    </xdr:to>
    <xdr:pic>
      <xdr:nvPicPr>
        <xdr:cNvPr id="2" name="Obráze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3086100"/>
          <a:ext cx="1790700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439449</xdr:colOff>
      <xdr:row>34</xdr:row>
      <xdr:rowOff>182665</xdr:rowOff>
    </xdr:from>
    <xdr:to>
      <xdr:col>3</xdr:col>
      <xdr:colOff>387494</xdr:colOff>
      <xdr:row>35</xdr:row>
      <xdr:rowOff>214312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0024" y="8069365"/>
          <a:ext cx="948170" cy="23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485775</xdr:colOff>
      <xdr:row>47</xdr:row>
      <xdr:rowOff>19050</xdr:rowOff>
    </xdr:to>
    <xdr:pic>
      <xdr:nvPicPr>
        <xdr:cNvPr id="4" name="Picture 24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10896600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514350</xdr:colOff>
      <xdr:row>45</xdr:row>
      <xdr:rowOff>47625</xdr:rowOff>
    </xdr:to>
    <xdr:pic>
      <xdr:nvPicPr>
        <xdr:cNvPr id="5" name="Picture 25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515600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6" name="Picture 25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10534650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228600</xdr:colOff>
      <xdr:row>25</xdr:row>
      <xdr:rowOff>9525</xdr:rowOff>
    </xdr:from>
    <xdr:to>
      <xdr:col>7</xdr:col>
      <xdr:colOff>885825</xdr:colOff>
      <xdr:row>27</xdr:row>
      <xdr:rowOff>247650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4324350" y="5905500"/>
          <a:ext cx="6572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27</xdr:row>
      <xdr:rowOff>304800</xdr:rowOff>
    </xdr:from>
    <xdr:to>
      <xdr:col>7</xdr:col>
      <xdr:colOff>904875</xdr:colOff>
      <xdr:row>29</xdr:row>
      <xdr:rowOff>28575</xdr:rowOff>
    </xdr:to>
    <xdr:sp macro="" textlink="">
      <xdr:nvSpPr>
        <xdr:cNvPr id="8" name="Line 28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4324350" y="6600825"/>
          <a:ext cx="6762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430383</xdr:colOff>
      <xdr:row>37</xdr:row>
      <xdr:rowOff>65942</xdr:rowOff>
    </xdr:from>
    <xdr:to>
      <xdr:col>2</xdr:col>
      <xdr:colOff>626481</xdr:colOff>
      <xdr:row>37</xdr:row>
      <xdr:rowOff>111661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20958" y="9190892"/>
          <a:ext cx="196098" cy="4571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 editAs="oneCell">
    <xdr:from>
      <xdr:col>18</xdr:col>
      <xdr:colOff>114300</xdr:colOff>
      <xdr:row>63</xdr:row>
      <xdr:rowOff>200025</xdr:rowOff>
    </xdr:from>
    <xdr:to>
      <xdr:col>20</xdr:col>
      <xdr:colOff>19050</xdr:colOff>
      <xdr:row>68</xdr:row>
      <xdr:rowOff>142875</xdr:rowOff>
    </xdr:to>
    <xdr:pic>
      <xdr:nvPicPr>
        <xdr:cNvPr id="10" name="Obrázek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8333" b="8333"/>
        <a:stretch>
          <a:fillRect/>
        </a:stretch>
      </xdr:blipFill>
      <xdr:spPr bwMode="auto">
        <a:xfrm>
          <a:off x="12125325" y="14506575"/>
          <a:ext cx="9715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657225</xdr:colOff>
      <xdr:row>37</xdr:row>
      <xdr:rowOff>95250</xdr:rowOff>
    </xdr:from>
    <xdr:to>
      <xdr:col>12</xdr:col>
      <xdr:colOff>66675</xdr:colOff>
      <xdr:row>47</xdr:row>
      <xdr:rowOff>66675</xdr:rowOff>
    </xdr:to>
    <xdr:grpSp>
      <xdr:nvGrpSpPr>
        <xdr:cNvPr id="11" name="Skupina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6494689" y="9280071"/>
          <a:ext cx="1817915" cy="1998890"/>
          <a:chOff x="5595714" y="8462506"/>
          <a:chExt cx="2207432" cy="2483472"/>
        </a:xfrm>
      </xdr:grpSpPr>
      <xdr:pic>
        <xdr:nvPicPr>
          <xdr:cNvPr id="12" name="Obrázek 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ovéPol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929371" y="8462506"/>
            <a:ext cx="873775" cy="759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4" name="Obrázek 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50346</xdr:colOff>
      <xdr:row>3</xdr:row>
      <xdr:rowOff>61232</xdr:rowOff>
    </xdr:from>
    <xdr:to>
      <xdr:col>26</xdr:col>
      <xdr:colOff>224518</xdr:colOff>
      <xdr:row>21</xdr:row>
      <xdr:rowOff>148318</xdr:rowOff>
    </xdr:to>
    <xdr:grpSp>
      <xdr:nvGrpSpPr>
        <xdr:cNvPr id="15" name="Skupina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4487525" y="714375"/>
          <a:ext cx="2800350" cy="4305300"/>
          <a:chOff x="14400068" y="805294"/>
          <a:chExt cx="2763788" cy="4372842"/>
        </a:xfrm>
      </xdr:grpSpPr>
      <xdr:pic>
        <xdr:nvPicPr>
          <xdr:cNvPr id="16" name="Obrázek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00068" y="805294"/>
            <a:ext cx="2763788" cy="4372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7" name="Skupina 1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>
            <a:grpSpLocks/>
          </xdr:cNvGrpSpPr>
        </xdr:nvGrpSpPr>
        <xdr:grpSpPr bwMode="auto">
          <a:xfrm>
            <a:off x="15067514" y="4181667"/>
            <a:ext cx="890126" cy="783629"/>
            <a:chOff x="15862757" y="3887704"/>
            <a:chExt cx="859014" cy="740101"/>
          </a:xfrm>
        </xdr:grpSpPr>
        <xdr:sp macro="" textlink="">
          <xdr:nvSpPr>
            <xdr:cNvPr id="18" name="Ovál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15862757" y="3969938"/>
              <a:ext cx="644117" cy="657867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9" name="TextovéPol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6470585" y="3887704"/>
              <a:ext cx="251186" cy="2537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7</xdr:col>
      <xdr:colOff>180975</xdr:colOff>
      <xdr:row>14</xdr:row>
      <xdr:rowOff>152400</xdr:rowOff>
    </xdr:from>
    <xdr:to>
      <xdr:col>7</xdr:col>
      <xdr:colOff>904875</xdr:colOff>
      <xdr:row>16</xdr:row>
      <xdr:rowOff>114300</xdr:rowOff>
    </xdr:to>
    <xdr:sp macro="" textlink="">
      <xdr:nvSpPr>
        <xdr:cNvPr id="20" name="Line 29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4276725" y="3495675"/>
          <a:ext cx="723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21</xdr:row>
      <xdr:rowOff>19050</xdr:rowOff>
    </xdr:from>
    <xdr:to>
      <xdr:col>7</xdr:col>
      <xdr:colOff>876300</xdr:colOff>
      <xdr:row>22</xdr:row>
      <xdr:rowOff>133350</xdr:rowOff>
    </xdr:to>
    <xdr:sp macro="" textlink="">
      <xdr:nvSpPr>
        <xdr:cNvPr id="21" name="Line 29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 flipV="1">
          <a:off x="3762375" y="4886325"/>
          <a:ext cx="12096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17</xdr:row>
      <xdr:rowOff>114300</xdr:rowOff>
    </xdr:from>
    <xdr:to>
      <xdr:col>7</xdr:col>
      <xdr:colOff>895350</xdr:colOff>
      <xdr:row>20</xdr:row>
      <xdr:rowOff>133350</xdr:rowOff>
    </xdr:to>
    <xdr:sp macro="" textlink="">
      <xdr:nvSpPr>
        <xdr:cNvPr id="22" name="Line 29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4286250" y="4029075"/>
          <a:ext cx="7048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285750</xdr:colOff>
      <xdr:row>22</xdr:row>
      <xdr:rowOff>180975</xdr:rowOff>
    </xdr:from>
    <xdr:to>
      <xdr:col>23</xdr:col>
      <xdr:colOff>504825</xdr:colOff>
      <xdr:row>37</xdr:row>
      <xdr:rowOff>57150</xdr:rowOff>
    </xdr:to>
    <xdr:pic>
      <xdr:nvPicPr>
        <xdr:cNvPr id="23" name="Obrázek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476875"/>
          <a:ext cx="1438275" cy="370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663288</xdr:colOff>
      <xdr:row>34</xdr:row>
      <xdr:rowOff>180284</xdr:rowOff>
    </xdr:from>
    <xdr:to>
      <xdr:col>8</xdr:col>
      <xdr:colOff>658958</xdr:colOff>
      <xdr:row>35</xdr:row>
      <xdr:rowOff>211931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759038" y="8066984"/>
          <a:ext cx="948170" cy="23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4</xdr:col>
      <xdr:colOff>41781</xdr:colOff>
      <xdr:row>41</xdr:row>
      <xdr:rowOff>177903</xdr:rowOff>
    </xdr:from>
    <xdr:to>
      <xdr:col>5</xdr:col>
      <xdr:colOff>382733</xdr:colOff>
      <xdr:row>43</xdr:row>
      <xdr:rowOff>7144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08731" y="10102953"/>
          <a:ext cx="950552" cy="229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twoCellAnchor>
  <xdr:twoCellAnchor editAs="oneCell">
    <xdr:from>
      <xdr:col>2</xdr:col>
      <xdr:colOff>800100</xdr:colOff>
      <xdr:row>38</xdr:row>
      <xdr:rowOff>85725</xdr:rowOff>
    </xdr:from>
    <xdr:to>
      <xdr:col>7</xdr:col>
      <xdr:colOff>542925</xdr:colOff>
      <xdr:row>43</xdr:row>
      <xdr:rowOff>95250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9410700"/>
          <a:ext cx="3048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11</xdr:row>
      <xdr:rowOff>114300</xdr:rowOff>
    </xdr:from>
    <xdr:to>
      <xdr:col>7</xdr:col>
      <xdr:colOff>781050</xdr:colOff>
      <xdr:row>35</xdr:row>
      <xdr:rowOff>285750</xdr:rowOff>
    </xdr:to>
    <xdr:pic>
      <xdr:nvPicPr>
        <xdr:cNvPr id="27" name="Obrázek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790825"/>
          <a:ext cx="3476625" cy="558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31</xdr:row>
      <xdr:rowOff>57150</xdr:rowOff>
    </xdr:from>
    <xdr:to>
      <xdr:col>6</xdr:col>
      <xdr:colOff>104775</xdr:colOff>
      <xdr:row>38</xdr:row>
      <xdr:rowOff>123825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96265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</xdr:row>
      <xdr:rowOff>95250</xdr:rowOff>
    </xdr:from>
    <xdr:to>
      <xdr:col>7</xdr:col>
      <xdr:colOff>47625</xdr:colOff>
      <xdr:row>31</xdr:row>
      <xdr:rowOff>57150</xdr:rowOff>
    </xdr:to>
    <xdr:pic>
      <xdr:nvPicPr>
        <xdr:cNvPr id="3" name="Picture 8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76250"/>
          <a:ext cx="3343275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32</xdr:row>
      <xdr:rowOff>38100</xdr:rowOff>
    </xdr:from>
    <xdr:to>
      <xdr:col>6</xdr:col>
      <xdr:colOff>200025</xdr:colOff>
      <xdr:row>39</xdr:row>
      <xdr:rowOff>95250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13410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</xdr:row>
      <xdr:rowOff>66675</xdr:rowOff>
    </xdr:from>
    <xdr:to>
      <xdr:col>7</xdr:col>
      <xdr:colOff>247650</xdr:colOff>
      <xdr:row>32</xdr:row>
      <xdr:rowOff>104775</xdr:rowOff>
    </xdr:to>
    <xdr:pic>
      <xdr:nvPicPr>
        <xdr:cNvPr id="3" name="Picture 8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47675"/>
          <a:ext cx="3552825" cy="575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Z128"/>
  <sheetViews>
    <sheetView showGridLines="0" tabSelected="1" zoomScale="70" zoomScaleNormal="70" zoomScaleSheetLayoutView="30" workbookViewId="0">
      <selection activeCell="K3" sqref="K3"/>
    </sheetView>
  </sheetViews>
  <sheetFormatPr baseColWidth="10" defaultColWidth="9.140625" defaultRowHeight="15" x14ac:dyDescent="0.25"/>
  <cols>
    <col min="1" max="1" width="2.7109375" customWidth="1"/>
    <col min="3" max="3" width="15" customWidth="1"/>
    <col min="4" max="4" width="7.140625" customWidth="1"/>
    <col min="8" max="8" width="14.28515625" customWidth="1"/>
    <col min="9" max="9" width="11.5703125" customWidth="1"/>
    <col min="10" max="10" width="14.140625" customWidth="1"/>
    <col min="11" max="11" width="11.28515625" bestFit="1" customWidth="1"/>
    <col min="12" max="12" width="10.85546875" bestFit="1" customWidth="1"/>
    <col min="13" max="13" width="3.42578125" customWidth="1"/>
    <col min="16" max="16" width="16.5703125" customWidth="1"/>
    <col min="20" max="20" width="6.85546875" customWidth="1"/>
    <col min="21" max="21" width="10.710937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43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88.28515625" hidden="1" customWidth="1"/>
    <col min="39" max="39" width="60" hidden="1" customWidth="1"/>
    <col min="40" max="52" width="9.140625" hidden="1" customWidth="1"/>
    <col min="53" max="82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t="s">
        <v>8</v>
      </c>
      <c r="AO1" t="s">
        <v>9</v>
      </c>
      <c r="AP1" t="s">
        <v>10</v>
      </c>
    </row>
    <row r="2" spans="1:42" ht="15.75" thickBot="1" x14ac:dyDescent="0.3">
      <c r="A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213" t="str">
        <f>AG12</f>
        <v>VERTIKALER BESCHLAG (VL)</v>
      </c>
      <c r="X2" s="213"/>
      <c r="Y2" s="213"/>
      <c r="Z2" s="213"/>
      <c r="AA2" s="213"/>
      <c r="AB2" s="214"/>
      <c r="AD2" s="9" t="s">
        <v>11</v>
      </c>
      <c r="AE2" s="10" t="s">
        <v>12</v>
      </c>
      <c r="AF2" s="11"/>
      <c r="AG2" t="str">
        <f>VLOOKUP(AH2,AH2:AR96,$AE$1,FALSE)</f>
        <v>Wählen Sie eine Sprache</v>
      </c>
      <c r="AH2" t="s">
        <v>13</v>
      </c>
      <c r="AI2" t="s">
        <v>14</v>
      </c>
      <c r="AJ2" s="12" t="s">
        <v>15</v>
      </c>
      <c r="AK2" t="s">
        <v>16</v>
      </c>
      <c r="AL2" s="12" t="s">
        <v>17</v>
      </c>
      <c r="AM2" s="13" t="s">
        <v>18</v>
      </c>
      <c r="AN2" t="s">
        <v>19</v>
      </c>
      <c r="AO2" t="s">
        <v>20</v>
      </c>
      <c r="AP2" t="s">
        <v>21</v>
      </c>
    </row>
    <row r="3" spans="1:42" ht="19.5" thickBot="1" x14ac:dyDescent="0.35">
      <c r="A3" s="6"/>
      <c r="B3" s="14" t="s">
        <v>22</v>
      </c>
      <c r="C3" s="15"/>
      <c r="D3" s="16"/>
      <c r="E3" s="7"/>
      <c r="F3" s="7"/>
      <c r="G3" s="7"/>
      <c r="H3" s="17" t="str">
        <f>VLOOKUP(AG3,AG2:AR96,$AE$1+1,FALSE)</f>
        <v>Lichte Breite</v>
      </c>
      <c r="I3" s="17"/>
      <c r="K3" s="18"/>
      <c r="L3" s="7" t="s">
        <v>23</v>
      </c>
      <c r="M3" s="7"/>
      <c r="T3" s="7"/>
      <c r="U3" s="7"/>
      <c r="V3" s="19"/>
      <c r="W3" s="215"/>
      <c r="X3" s="215"/>
      <c r="Y3" s="215"/>
      <c r="Z3" s="215"/>
      <c r="AA3" s="215"/>
      <c r="AB3" s="216"/>
      <c r="AD3" s="20" t="s">
        <v>2</v>
      </c>
      <c r="AE3" s="21">
        <v>1</v>
      </c>
      <c r="AF3" s="4"/>
      <c r="AG3" t="str">
        <f t="shared" ref="AG3:AG66" si="0">VLOOKUP(AH3,AH3:AR97,$AE$1,FALSE)</f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s="13" t="s">
        <v>29</v>
      </c>
      <c r="AN3" t="s">
        <v>30</v>
      </c>
      <c r="AO3" t="s">
        <v>31</v>
      </c>
      <c r="AP3" t="s">
        <v>32</v>
      </c>
    </row>
    <row r="4" spans="1:42" ht="19.5" thickBot="1" x14ac:dyDescent="0.35">
      <c r="A4" s="6"/>
      <c r="B4" s="15" t="s">
        <v>14</v>
      </c>
      <c r="C4" s="15"/>
      <c r="D4" s="16"/>
      <c r="F4" s="7"/>
      <c r="G4" s="7"/>
      <c r="H4" s="17"/>
      <c r="I4" s="17"/>
      <c r="J4" s="22"/>
      <c r="K4" s="7"/>
      <c r="L4" s="7"/>
      <c r="M4" s="7"/>
      <c r="R4" s="7"/>
      <c r="S4" s="7"/>
      <c r="T4" s="7"/>
      <c r="X4" s="217" t="s">
        <v>33</v>
      </c>
      <c r="Y4" s="217"/>
      <c r="Z4" s="217"/>
      <c r="AA4" s="217"/>
      <c r="AB4" s="218"/>
      <c r="AD4" s="20" t="s">
        <v>3</v>
      </c>
      <c r="AE4" s="21">
        <v>2</v>
      </c>
      <c r="AF4" s="4"/>
      <c r="AG4" t="str">
        <f t="shared" si="0"/>
        <v>Lichte Höhe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s="13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6"/>
      <c r="B5" s="23" t="s">
        <v>43</v>
      </c>
      <c r="C5" s="15"/>
      <c r="D5" s="24"/>
      <c r="E5" s="25" t="s">
        <v>4</v>
      </c>
      <c r="F5" s="7"/>
      <c r="G5" s="7"/>
      <c r="H5" s="17" t="str">
        <f>VLOOKUP(AG4,AG2:AR96,$AE$1+1,FALSE)</f>
        <v>Lichte Höhe</v>
      </c>
      <c r="I5" s="17"/>
      <c r="K5" s="25"/>
      <c r="L5" s="7" t="s">
        <v>23</v>
      </c>
      <c r="M5" s="7"/>
      <c r="O5" s="26" t="str">
        <f>VLOOKUP(AH99,AH99:AR175,$AE$1,FALSE)</f>
        <v>Fülen Sie bitte markierte Felder!</v>
      </c>
      <c r="P5" s="7"/>
      <c r="Q5" s="7"/>
      <c r="R5" s="7"/>
      <c r="S5" s="7"/>
      <c r="T5" s="7"/>
      <c r="X5" s="27"/>
      <c r="Y5" s="27"/>
      <c r="Z5" s="27"/>
      <c r="AA5" s="7"/>
      <c r="AB5" s="6"/>
      <c r="AD5" s="20" t="s">
        <v>4</v>
      </c>
      <c r="AE5" s="21">
        <v>3</v>
      </c>
      <c r="AF5" s="4"/>
      <c r="AG5" t="str">
        <f t="shared" si="0"/>
        <v>INNENANSICHT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s="13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6"/>
      <c r="B6" s="23" t="s">
        <v>53</v>
      </c>
      <c r="C6" s="15"/>
      <c r="D6" s="24"/>
      <c r="E6" s="7"/>
      <c r="F6" s="7"/>
      <c r="H6" s="7"/>
      <c r="I6" s="7"/>
      <c r="J6" s="22"/>
      <c r="K6" s="7"/>
      <c r="L6" s="7"/>
      <c r="M6" s="7"/>
      <c r="N6" s="7"/>
      <c r="O6" s="7"/>
      <c r="P6" s="7"/>
      <c r="Q6" s="7"/>
      <c r="R6" s="7"/>
      <c r="S6" s="7"/>
      <c r="T6" s="7"/>
      <c r="X6" s="27"/>
      <c r="Y6" s="27"/>
      <c r="Z6" s="27"/>
      <c r="AA6" s="7"/>
      <c r="AB6" s="6"/>
      <c r="AD6" s="20" t="s">
        <v>5</v>
      </c>
      <c r="AE6" s="21">
        <v>4</v>
      </c>
      <c r="AF6" s="4"/>
      <c r="AG6" t="str">
        <f t="shared" si="0"/>
        <v>DURCHSCHNITT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s="13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6"/>
      <c r="B7" s="23" t="s">
        <v>63</v>
      </c>
      <c r="C7" s="23"/>
      <c r="D7" s="7"/>
      <c r="E7" s="7"/>
      <c r="H7" s="28" t="str">
        <f>VLOOKUP(AG101,AG8:AR101,$AE$1+1,FALSE)</f>
        <v>Bedienung</v>
      </c>
      <c r="I7" s="24"/>
      <c r="J7" s="29"/>
      <c r="K7" s="219"/>
      <c r="L7" s="219"/>
      <c r="M7" s="219"/>
      <c r="N7" s="7"/>
      <c r="O7" s="209" t="str">
        <f>IF(OR(K7=AG102,K7=""),"",VLOOKUP(AG106,AG106:AR106,$AE$1+1,FALSE))</f>
        <v/>
      </c>
      <c r="P7" s="209"/>
      <c r="Q7" s="7"/>
      <c r="R7" s="219"/>
      <c r="S7" s="219"/>
      <c r="T7" s="7"/>
      <c r="X7" s="27"/>
      <c r="Y7" s="27"/>
      <c r="Z7" s="27"/>
      <c r="AA7" s="7"/>
      <c r="AB7" s="6"/>
      <c r="AD7" s="30" t="s">
        <v>6</v>
      </c>
      <c r="AE7" s="31">
        <v>5</v>
      </c>
      <c r="AF7" s="22"/>
      <c r="AG7" t="str">
        <f t="shared" si="0"/>
        <v>DURCHSCHNITT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s="13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6"/>
      <c r="B8" s="23" t="s">
        <v>19</v>
      </c>
      <c r="C8" s="23"/>
      <c r="D8" s="26"/>
      <c r="E8" s="26"/>
      <c r="F8" s="26"/>
      <c r="G8" s="12"/>
      <c r="L8" s="7"/>
      <c r="M8" s="7"/>
      <c r="P8" s="7"/>
      <c r="Q8" s="7"/>
      <c r="R8" s="7"/>
      <c r="T8" s="7"/>
      <c r="X8" s="27"/>
      <c r="Y8" s="27"/>
      <c r="Z8" s="27"/>
      <c r="AA8" s="7"/>
      <c r="AB8" s="6"/>
      <c r="AD8" s="30" t="s">
        <v>7</v>
      </c>
      <c r="AE8" s="32">
        <v>6</v>
      </c>
      <c r="AG8" t="str">
        <f t="shared" si="0"/>
        <v>ACHTUNG: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s="13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6"/>
      <c r="B9" s="23" t="s">
        <v>20</v>
      </c>
      <c r="C9" s="23"/>
      <c r="D9" s="7"/>
      <c r="E9" s="7"/>
      <c r="F9" s="7"/>
      <c r="G9" s="7"/>
      <c r="H9" s="33" t="str">
        <f>AG120</f>
        <v>Paneel-Typ</v>
      </c>
      <c r="I9" s="7"/>
      <c r="J9" s="7"/>
      <c r="K9" s="220"/>
      <c r="L9" s="220"/>
      <c r="M9" s="220"/>
      <c r="N9" s="7"/>
      <c r="O9" s="34"/>
      <c r="P9" s="34"/>
      <c r="Q9" s="7"/>
      <c r="R9" s="221"/>
      <c r="S9" s="221"/>
      <c r="T9" s="35"/>
      <c r="U9" s="7"/>
      <c r="V9" s="7"/>
      <c r="W9" s="7"/>
      <c r="X9" s="7"/>
      <c r="Y9" s="7"/>
      <c r="Z9" s="7"/>
      <c r="AA9" s="7"/>
      <c r="AB9" s="6"/>
      <c r="AD9" s="30" t="s">
        <v>8</v>
      </c>
      <c r="AE9" s="32">
        <v>7</v>
      </c>
    </row>
    <row r="10" spans="1:42" ht="19.5" thickBot="1" x14ac:dyDescent="0.35">
      <c r="A10" s="6"/>
      <c r="B10" s="23" t="s">
        <v>21</v>
      </c>
      <c r="C10" s="23"/>
      <c r="G10" s="7"/>
      <c r="H10" s="28"/>
      <c r="I10" s="7"/>
      <c r="J10" s="7"/>
      <c r="K10" s="29"/>
      <c r="L10" s="29"/>
      <c r="M10" s="29"/>
      <c r="N10" s="24"/>
      <c r="O10" s="36"/>
      <c r="P10" s="36"/>
      <c r="Q10" s="24"/>
      <c r="R10" s="29"/>
      <c r="S10" s="29"/>
      <c r="T10" s="35"/>
      <c r="U10" s="7"/>
      <c r="V10" s="7"/>
      <c r="W10" s="7"/>
      <c r="X10" s="7"/>
      <c r="Y10" s="7"/>
      <c r="Z10" s="7"/>
      <c r="AA10" s="7"/>
      <c r="AB10" s="6"/>
      <c r="AD10" s="30" t="s">
        <v>9</v>
      </c>
      <c r="AE10" s="32">
        <v>8</v>
      </c>
    </row>
    <row r="11" spans="1:42" ht="19.5" thickBot="1" x14ac:dyDescent="0.35">
      <c r="B11" s="37"/>
      <c r="C11" s="7"/>
      <c r="D11" s="209" t="str">
        <f>VLOOKUP($AG$5,$AG$2:$AR$96,$AE$1+1,FALSE)</f>
        <v>INNENANSICHT</v>
      </c>
      <c r="E11" s="209"/>
      <c r="F11" s="209"/>
      <c r="G11" s="7"/>
      <c r="H11" s="28" t="str">
        <f>AG126</f>
        <v>Laufschienen-Typ</v>
      </c>
      <c r="I11" s="7"/>
      <c r="J11" s="7"/>
      <c r="K11" s="210"/>
      <c r="L11" s="210"/>
      <c r="M11" s="210"/>
      <c r="N11" s="7"/>
      <c r="O11" s="34"/>
      <c r="P11" s="34"/>
      <c r="Q11" s="17" t="str">
        <f>VLOOKUP(AG6,AG2:AR96,$AE$1+1,FALSE)</f>
        <v>DURCHSCHNITT A-A</v>
      </c>
      <c r="R11" s="29"/>
      <c r="S11" s="29"/>
      <c r="T11" s="35"/>
      <c r="U11" s="7"/>
      <c r="V11" s="7"/>
      <c r="W11" s="7"/>
      <c r="X11" s="7"/>
      <c r="Y11" s="7"/>
      <c r="Z11" s="7"/>
      <c r="AA11" s="7"/>
      <c r="AB11" s="6"/>
      <c r="AD11" s="30" t="s">
        <v>10</v>
      </c>
      <c r="AE11" s="32">
        <v>9</v>
      </c>
    </row>
    <row r="12" spans="1:42" x14ac:dyDescent="0.25">
      <c r="B12" s="37"/>
      <c r="C12" s="7"/>
      <c r="G12" s="7"/>
      <c r="H12" s="38"/>
      <c r="I12" s="7"/>
      <c r="J12" s="7"/>
      <c r="K12" s="7"/>
      <c r="L12" s="7"/>
      <c r="M12" s="7"/>
      <c r="N12" s="7"/>
      <c r="O12" s="7"/>
      <c r="P12" s="7"/>
      <c r="S12" s="7"/>
      <c r="T12" s="7"/>
      <c r="U12" s="7"/>
      <c r="V12" s="7"/>
      <c r="W12" s="7"/>
      <c r="X12" s="7"/>
      <c r="Y12" s="7"/>
      <c r="Z12" s="7"/>
      <c r="AA12" s="7"/>
      <c r="AB12" s="6"/>
      <c r="AG12" t="str">
        <f t="shared" si="0"/>
        <v>VERTIKALER BESCHLAG (VL)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s="13" t="s">
        <v>87</v>
      </c>
      <c r="AN12" t="s">
        <v>88</v>
      </c>
      <c r="AO12" t="s">
        <v>89</v>
      </c>
      <c r="AP12" t="s">
        <v>90</v>
      </c>
    </row>
    <row r="13" spans="1:42" ht="18.75" x14ac:dyDescent="0.3">
      <c r="B13" s="37"/>
      <c r="C13" s="38"/>
      <c r="D13" s="7"/>
      <c r="E13" s="211">
        <f>IF($K$11="2""",100,120)</f>
        <v>120</v>
      </c>
      <c r="F13" s="7"/>
      <c r="G13" s="201"/>
      <c r="H13" s="7"/>
      <c r="I13" s="7"/>
      <c r="J13" s="7"/>
      <c r="K13" s="39" t="str">
        <f>IF(OR(K11=AG127,K11=AG128),"W&gt;7500 mm =&gt; 3'","")</f>
        <v/>
      </c>
      <c r="L13" s="7"/>
      <c r="M13" s="7"/>
      <c r="N13" s="7"/>
      <c r="O13" s="7"/>
      <c r="P13" s="7"/>
      <c r="Q13" s="212" t="str">
        <f>"D="&amp;$L$66</f>
        <v>D=550</v>
      </c>
      <c r="R13" s="212"/>
      <c r="S13" s="7"/>
      <c r="T13" s="7"/>
      <c r="U13" s="7"/>
      <c r="V13" s="7"/>
      <c r="W13" s="7"/>
      <c r="X13" s="7"/>
      <c r="Y13" s="7"/>
      <c r="Z13" s="7"/>
      <c r="AA13" s="7"/>
      <c r="AB13" s="6"/>
      <c r="AG13" t="str">
        <f t="shared" si="0"/>
        <v>Federn oberhalb des Sturzes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s="13" t="s">
        <v>96</v>
      </c>
      <c r="AN13" t="s">
        <v>97</v>
      </c>
      <c r="AO13" t="s">
        <v>98</v>
      </c>
      <c r="AP13" t="s">
        <v>99</v>
      </c>
    </row>
    <row r="14" spans="1:42" ht="18.75" x14ac:dyDescent="0.3">
      <c r="B14" s="37"/>
      <c r="C14" s="7"/>
      <c r="D14" s="7"/>
      <c r="E14" s="211"/>
      <c r="F14" s="7"/>
      <c r="G14" s="201"/>
      <c r="H14" s="7"/>
      <c r="I14" s="7"/>
      <c r="J14" s="7"/>
      <c r="K14" s="39" t="str">
        <f>IF(OR(K11=AG127,K11=AG128),"H&gt; 4500 mm &amp;W&gt;6500 mm =&gt; 3'","")</f>
        <v/>
      </c>
      <c r="L14" s="7"/>
      <c r="M14" s="7"/>
      <c r="N14" s="7"/>
      <c r="O14" s="7"/>
      <c r="P14" s="7"/>
      <c r="Q14" s="40"/>
      <c r="R14" s="40"/>
      <c r="S14" s="7"/>
      <c r="T14" s="7"/>
      <c r="U14" s="7"/>
      <c r="V14" s="7"/>
      <c r="W14" s="7"/>
      <c r="X14" s="7"/>
      <c r="Y14" s="7"/>
      <c r="Z14" s="7"/>
      <c r="AA14" s="7"/>
      <c r="AB14" s="6"/>
      <c r="AG14" t="str">
        <f t="shared" si="0"/>
        <v>pro HL&gt;600 und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s="13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37"/>
      <c r="C15" s="7"/>
      <c r="D15" s="7"/>
      <c r="E15" s="7"/>
      <c r="F15" s="7"/>
      <c r="G15" s="201"/>
      <c r="I15" s="41"/>
      <c r="J15" s="7"/>
      <c r="K15" s="7"/>
      <c r="L15" s="7"/>
      <c r="M15" s="7"/>
      <c r="N15" s="7"/>
      <c r="O15" s="7"/>
      <c r="P15" s="7"/>
      <c r="Q15" s="7"/>
      <c r="R15" s="38"/>
      <c r="S15" s="7"/>
      <c r="T15" s="7"/>
      <c r="U15" s="7"/>
      <c r="V15" s="7"/>
      <c r="W15" s="7"/>
      <c r="X15" s="7"/>
      <c r="Y15" s="7"/>
      <c r="Z15" s="7"/>
      <c r="AA15" s="7"/>
      <c r="AB15" s="6"/>
      <c r="AG15" t="str">
        <f t="shared" si="0"/>
        <v>Paneel 40 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s="13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197"/>
      <c r="C16" s="193" t="str">
        <f>"A= "&amp;P62</f>
        <v>A= 130</v>
      </c>
      <c r="D16" s="42"/>
      <c r="E16" s="42"/>
      <c r="F16" s="42"/>
      <c r="G16" s="201"/>
      <c r="H16" s="41"/>
      <c r="I16" s="41"/>
      <c r="J16" s="7"/>
      <c r="K16" s="7"/>
      <c r="L16" s="7"/>
      <c r="M16" s="7"/>
      <c r="N16" s="7"/>
      <c r="O16" s="7"/>
      <c r="P16" s="7"/>
      <c r="Q16" s="7"/>
      <c r="R16" s="7"/>
      <c r="S16" s="204"/>
      <c r="T16" s="7"/>
      <c r="U16" s="7"/>
      <c r="V16" s="7"/>
      <c r="W16" s="7"/>
      <c r="X16" s="7"/>
      <c r="Y16" s="7"/>
      <c r="Z16" s="7"/>
      <c r="AA16" s="7"/>
      <c r="AB16" s="6"/>
      <c r="AG16" t="str">
        <f t="shared" si="0"/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s="13" t="s">
        <v>118</v>
      </c>
      <c r="AN16" t="s">
        <v>117</v>
      </c>
      <c r="AO16" t="s">
        <v>117</v>
      </c>
      <c r="AP16" t="s">
        <v>119</v>
      </c>
    </row>
    <row r="17" spans="1:42" ht="15" customHeight="1" x14ac:dyDescent="0.25">
      <c r="B17" s="197"/>
      <c r="C17" s="193"/>
      <c r="D17" s="42"/>
      <c r="E17" s="42"/>
      <c r="F17" s="42"/>
      <c r="G17" s="201"/>
      <c r="H17" s="205"/>
      <c r="I17" s="7" t="str">
        <f>$AG$36</f>
        <v>MONTAGEFLÄCHE FÜR DEN MOTOR (wahlweise L oder R)</v>
      </c>
      <c r="J17" s="7"/>
      <c r="K17" s="7"/>
      <c r="L17" s="7"/>
      <c r="M17" s="7"/>
      <c r="N17" s="7"/>
      <c r="O17" s="7"/>
      <c r="P17" s="7"/>
      <c r="Q17" s="7"/>
      <c r="R17" s="7"/>
      <c r="S17" s="204"/>
      <c r="T17" s="7"/>
      <c r="U17" s="7"/>
      <c r="V17" s="7"/>
      <c r="W17" s="7"/>
      <c r="X17" s="7"/>
      <c r="Y17" s="7"/>
      <c r="Z17" s="7"/>
      <c r="AA17" s="7"/>
      <c r="AB17" s="6"/>
      <c r="AK17" s="12"/>
      <c r="AL17" s="12"/>
    </row>
    <row r="18" spans="1:42" ht="15" customHeight="1" x14ac:dyDescent="0.25">
      <c r="B18" s="197"/>
      <c r="C18" s="193"/>
      <c r="D18" s="42"/>
      <c r="E18" s="42"/>
      <c r="F18" s="42"/>
      <c r="G18" s="201"/>
      <c r="H18" s="205"/>
      <c r="I18" s="41"/>
      <c r="J18" s="7"/>
      <c r="K18" s="7"/>
      <c r="L18" s="7"/>
      <c r="M18" s="43"/>
      <c r="N18" s="206"/>
      <c r="O18" s="7"/>
      <c r="P18" s="7"/>
      <c r="Q18" s="7"/>
      <c r="R18" s="7"/>
      <c r="S18" s="44"/>
      <c r="T18" s="45"/>
      <c r="U18" s="45"/>
      <c r="V18" s="7"/>
      <c r="W18" s="7"/>
      <c r="X18" s="7"/>
      <c r="Y18" s="7"/>
      <c r="Z18" s="7"/>
      <c r="AA18" s="7"/>
      <c r="AB18" s="6"/>
    </row>
    <row r="19" spans="1:42" ht="29.25" customHeight="1" x14ac:dyDescent="0.25">
      <c r="B19" s="197"/>
      <c r="C19" s="193"/>
      <c r="D19" s="42"/>
      <c r="E19" s="42"/>
      <c r="F19" s="42"/>
      <c r="G19" s="42"/>
      <c r="H19" s="7"/>
      <c r="J19" s="7"/>
      <c r="K19" s="7"/>
      <c r="L19" s="7"/>
      <c r="M19" s="43"/>
      <c r="N19" s="206"/>
      <c r="O19" s="7"/>
      <c r="P19" s="7"/>
      <c r="Q19" s="7"/>
      <c r="R19" s="207" t="str">
        <f>"A="&amp;P62</f>
        <v>A=130</v>
      </c>
      <c r="S19" s="203" t="str">
        <f>"F="&amp;P60</f>
        <v>F=0</v>
      </c>
      <c r="T19" s="45"/>
      <c r="U19" s="45"/>
      <c r="V19" s="7"/>
      <c r="W19" s="7"/>
      <c r="X19" s="7"/>
      <c r="Y19" s="7"/>
      <c r="Z19" s="7"/>
      <c r="AA19" s="7"/>
      <c r="AB19" s="6"/>
    </row>
    <row r="20" spans="1:42" x14ac:dyDescent="0.25">
      <c r="B20" s="197"/>
      <c r="C20" s="208" t="str">
        <f>"F= "&amp;P60</f>
        <v>F= 0</v>
      </c>
      <c r="D20" s="42"/>
      <c r="E20" s="42"/>
      <c r="F20" s="42"/>
      <c r="G20" s="42"/>
      <c r="H20" s="46"/>
      <c r="I20" s="47"/>
      <c r="J20" s="7"/>
      <c r="K20" s="7"/>
      <c r="L20" s="7"/>
      <c r="M20" s="7"/>
      <c r="N20" s="7"/>
      <c r="O20" s="7"/>
      <c r="P20" s="7"/>
      <c r="Q20" s="7"/>
      <c r="R20" s="207"/>
      <c r="S20" s="203"/>
      <c r="T20" s="48"/>
      <c r="U20" s="42"/>
      <c r="V20" s="7"/>
      <c r="W20" s="7"/>
      <c r="X20" s="7"/>
      <c r="Y20" s="7"/>
      <c r="Z20" s="7"/>
      <c r="AA20" s="7"/>
      <c r="AB20" s="6"/>
      <c r="AG20" t="str">
        <f t="shared" si="0"/>
        <v>Montage auf Mauerwerk und Ziegel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s="13" t="s">
        <v>125</v>
      </c>
      <c r="AN20" t="s">
        <v>126</v>
      </c>
      <c r="AO20" t="s">
        <v>127</v>
      </c>
      <c r="AP20" t="s">
        <v>128</v>
      </c>
    </row>
    <row r="21" spans="1:42" ht="15.75" customHeight="1" x14ac:dyDescent="0.25">
      <c r="B21" s="197"/>
      <c r="C21" s="208"/>
      <c r="D21" s="42"/>
      <c r="E21" s="42"/>
      <c r="F21" s="42"/>
      <c r="G21" s="42"/>
      <c r="H21" s="46"/>
      <c r="I21" s="27" t="str">
        <f>VLOOKUP(AG48,AG2:AR96,$AE$1+1,FALSE)</f>
        <v>Benötigter Freiraum bei Elektro- oder Haspelkettenbedienung (wahlweise L oder R)</v>
      </c>
      <c r="J21" s="7"/>
      <c r="K21" s="7"/>
      <c r="L21" s="7"/>
      <c r="M21" s="7"/>
      <c r="N21" s="7"/>
      <c r="O21" s="7"/>
      <c r="P21" s="7"/>
      <c r="Q21" s="7"/>
      <c r="R21" s="207"/>
      <c r="S21" s="203"/>
      <c r="T21" s="42"/>
      <c r="U21" s="195"/>
      <c r="X21" s="7"/>
      <c r="AB21" s="6"/>
      <c r="AG21" t="str">
        <f t="shared" si="0"/>
        <v>Montage auf Porenbeton oder Gasbeton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s="13" t="s">
        <v>134</v>
      </c>
      <c r="AN21" t="s">
        <v>135</v>
      </c>
      <c r="AO21" t="s">
        <v>136</v>
      </c>
      <c r="AP21" t="s">
        <v>137</v>
      </c>
    </row>
    <row r="22" spans="1:42" ht="33.75" customHeight="1" x14ac:dyDescent="0.25">
      <c r="B22" s="197"/>
      <c r="C22" s="208"/>
      <c r="D22" s="42"/>
      <c r="E22" s="42"/>
      <c r="F22" s="42"/>
      <c r="G22" s="42"/>
      <c r="H22" s="7"/>
      <c r="J22" s="7"/>
      <c r="K22" s="7"/>
      <c r="L22" s="7"/>
      <c r="M22" s="7"/>
      <c r="N22" s="7"/>
      <c r="O22" s="7"/>
      <c r="P22" s="7"/>
      <c r="Q22" s="7"/>
      <c r="R22" s="7"/>
      <c r="S22" s="42"/>
      <c r="T22" s="196"/>
      <c r="U22" s="195"/>
      <c r="X22" s="7"/>
      <c r="AB22" s="6"/>
      <c r="AG22" t="str">
        <f t="shared" si="0"/>
        <v>Montage auf ISO-Trapezblechfassade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s="13" t="s">
        <v>143</v>
      </c>
      <c r="AN22" t="s">
        <v>144</v>
      </c>
      <c r="AO22" t="s">
        <v>145</v>
      </c>
      <c r="AP22" t="s">
        <v>146</v>
      </c>
    </row>
    <row r="23" spans="1:42" ht="15.75" customHeight="1" x14ac:dyDescent="0.25">
      <c r="B23" s="197"/>
      <c r="C23" s="49"/>
      <c r="D23" s="42"/>
      <c r="E23" s="42"/>
      <c r="F23" s="42"/>
      <c r="G23" s="42"/>
      <c r="H23" s="7"/>
      <c r="I23" t="str">
        <f>AG37</f>
        <v>BENÖTIGTER FREIRAUM</v>
      </c>
      <c r="O23" s="7"/>
      <c r="P23" s="7"/>
      <c r="Q23" s="7"/>
      <c r="R23" s="7"/>
      <c r="S23" s="42"/>
      <c r="T23" s="196"/>
      <c r="U23" s="50"/>
      <c r="X23" s="7"/>
      <c r="AB23" s="6"/>
    </row>
    <row r="24" spans="1:42" ht="15.75" customHeight="1" x14ac:dyDescent="0.25">
      <c r="B24" s="197"/>
      <c r="C24" s="49"/>
      <c r="D24" s="42"/>
      <c r="E24" s="42"/>
      <c r="F24" s="42"/>
      <c r="G24" s="42"/>
      <c r="H24" s="7"/>
      <c r="O24" s="7"/>
      <c r="P24" s="7"/>
      <c r="Q24" s="7"/>
      <c r="R24" s="7"/>
      <c r="S24" s="42"/>
      <c r="T24" s="42"/>
      <c r="U24" s="48"/>
      <c r="X24" s="7"/>
      <c r="AB24" s="6"/>
    </row>
    <row r="25" spans="1:42" ht="15.75" x14ac:dyDescent="0.25">
      <c r="B25" s="197"/>
      <c r="C25" s="49"/>
      <c r="D25" s="42"/>
      <c r="E25" s="42"/>
      <c r="F25" s="42"/>
      <c r="G25" s="42"/>
      <c r="H25" s="7"/>
      <c r="I25" s="27" t="str">
        <f>VLOOKUP(AG49,AG2:AR96,$AE$1+1,FALSE)</f>
        <v>Montagefläche für Antriebsteuerung Mass 250 x 400 mm</v>
      </c>
      <c r="J25" s="51"/>
      <c r="K25" s="27"/>
      <c r="L25" s="27"/>
      <c r="M25" s="27"/>
      <c r="N25" s="27"/>
      <c r="O25" s="27"/>
      <c r="P25" s="27"/>
      <c r="Q25" s="27"/>
      <c r="R25" s="7"/>
      <c r="S25" s="42"/>
      <c r="T25" s="195"/>
      <c r="U25" s="42"/>
      <c r="X25" s="7"/>
      <c r="AB25" s="6"/>
      <c r="AG25" t="str">
        <f t="shared" si="0"/>
        <v>VORBEREITUNGEN UND ARBEITEN DIE VOM AUFTRAGGEBER ZU ERBRINGEN SIND, AUßER BEI SCHRIFTLICHER VEREINBARUNG IM VORAUS: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s="13" t="s">
        <v>152</v>
      </c>
      <c r="AN25" t="s">
        <v>153</v>
      </c>
      <c r="AO25" t="s">
        <v>154</v>
      </c>
      <c r="AP25" t="s">
        <v>155</v>
      </c>
    </row>
    <row r="26" spans="1:42" ht="15.75" customHeight="1" x14ac:dyDescent="0.25">
      <c r="B26" s="197"/>
      <c r="C26" s="198" t="str">
        <f>"H="&amp;K5</f>
        <v>H=</v>
      </c>
      <c r="D26" s="42"/>
      <c r="E26" s="42"/>
      <c r="F26" s="42"/>
      <c r="G26" s="42"/>
      <c r="I26" s="52" t="str">
        <f>VLOOKUP(AG50,AG2:AR96,$AE$1+1,FALSE)</f>
        <v>Achse ca. 1.400 bis 1.500 mm vom Boden</v>
      </c>
      <c r="J26" s="52"/>
      <c r="K26" s="27"/>
      <c r="L26" s="27"/>
      <c r="M26" s="27"/>
      <c r="N26" s="27"/>
      <c r="O26" s="27"/>
      <c r="P26" s="27"/>
      <c r="Q26" s="27"/>
      <c r="R26" s="7"/>
      <c r="S26" s="42"/>
      <c r="T26" s="195"/>
      <c r="U26" s="42"/>
      <c r="Y26" s="27" t="str">
        <f>VLOOKUP(AG20,AG2:AR96,$AE$1+1,FALSE)</f>
        <v>Montage auf Mauerwerk und Ziegel</v>
      </c>
      <c r="Z26" s="27"/>
      <c r="AA26" s="7"/>
      <c r="AB26" s="6"/>
      <c r="AG26" t="str">
        <f t="shared" si="0"/>
        <v>Bauseits: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s="13" t="s">
        <v>161</v>
      </c>
      <c r="AN26" t="s">
        <v>162</v>
      </c>
      <c r="AO26" t="s">
        <v>163</v>
      </c>
      <c r="AP26" t="s">
        <v>164</v>
      </c>
    </row>
    <row r="27" spans="1:42" ht="15.75" x14ac:dyDescent="0.25">
      <c r="B27" s="199"/>
      <c r="C27" s="198"/>
      <c r="D27" s="42"/>
      <c r="E27" s="42"/>
      <c r="F27" s="42"/>
      <c r="G27" s="42"/>
      <c r="I27" s="52"/>
      <c r="J27" s="52"/>
      <c r="K27" s="27"/>
      <c r="L27" s="27"/>
      <c r="M27" s="27"/>
      <c r="N27" s="27"/>
      <c r="O27" s="27"/>
      <c r="P27" s="27"/>
      <c r="Q27" s="27"/>
      <c r="R27" s="7"/>
      <c r="S27" s="200" t="str">
        <f>"H= "&amp;$K$5</f>
        <v xml:space="preserve">H= </v>
      </c>
      <c r="T27" s="195"/>
      <c r="U27" s="42"/>
      <c r="Y27" s="27"/>
      <c r="Z27" s="27"/>
      <c r="AA27" s="7"/>
      <c r="AB27" s="6"/>
      <c r="AG27" t="str">
        <f t="shared" si="0"/>
        <v>Ein stählerner Montagerahmen zur Befestigung der vertikalen Laufschienen und des Federpakets bei nicht tragfähigen Flächen wie z.B. Porenbeton, Gasbeton, Isolationspanelen u.s.w..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s="13" t="s">
        <v>170</v>
      </c>
      <c r="AN27" t="s">
        <v>171</v>
      </c>
      <c r="AO27" t="s">
        <v>172</v>
      </c>
      <c r="AP27" t="s">
        <v>173</v>
      </c>
    </row>
    <row r="28" spans="1:42" ht="29.25" customHeight="1" x14ac:dyDescent="0.25">
      <c r="B28" s="199"/>
      <c r="C28" s="198"/>
      <c r="D28" s="42"/>
      <c r="E28" s="42"/>
      <c r="F28" s="42"/>
      <c r="G28" s="201"/>
      <c r="H28" s="203"/>
      <c r="I28" s="27" t="str">
        <f>VLOOKUP(AG51,AG3:AR97,$AE$1+1,FALSE)</f>
        <v>Steckdose CEE 16 A, 5P, 400 V, Sicherung 6 A (10 A) mit Schutzschalter, Stromschutz  I=30 mA.</v>
      </c>
      <c r="J28" s="51"/>
      <c r="K28" s="27"/>
      <c r="L28" s="27"/>
      <c r="M28" s="27"/>
      <c r="N28" s="27"/>
      <c r="O28" s="27"/>
      <c r="P28" s="27"/>
      <c r="Q28" s="27"/>
      <c r="R28" s="7"/>
      <c r="S28" s="200"/>
      <c r="T28" s="42"/>
      <c r="U28" s="42"/>
      <c r="Y28" s="27"/>
      <c r="Z28" s="27"/>
      <c r="AA28" s="7"/>
      <c r="AB28" s="6"/>
      <c r="AG28" t="str">
        <f t="shared" si="0"/>
        <v>Befestigungsmöglichkeit für die Zwischen- und Endaufhängung der horizontalen Laufschienen bis zu max. 1 m über diesen Laufschienen.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s="13" t="s">
        <v>179</v>
      </c>
      <c r="AN28" t="s">
        <v>180</v>
      </c>
      <c r="AO28" t="s">
        <v>181</v>
      </c>
      <c r="AP28" t="s">
        <v>182</v>
      </c>
    </row>
    <row r="29" spans="1:42" ht="15.75" x14ac:dyDescent="0.25">
      <c r="A29" s="6"/>
      <c r="B29" s="42"/>
      <c r="C29" s="53"/>
      <c r="D29" s="54"/>
      <c r="E29" s="54"/>
      <c r="F29" s="55"/>
      <c r="G29" s="202"/>
      <c r="H29" s="203"/>
      <c r="I29" s="27"/>
      <c r="J29" s="51"/>
      <c r="K29" s="27"/>
      <c r="L29" s="27"/>
      <c r="M29" s="27"/>
      <c r="N29" s="27"/>
      <c r="O29" s="27"/>
      <c r="P29" s="27"/>
      <c r="Q29" s="27"/>
      <c r="R29" s="7"/>
      <c r="S29" s="200"/>
      <c r="T29" s="7"/>
      <c r="U29" s="7"/>
      <c r="Y29" s="27"/>
      <c r="Z29" s="27"/>
      <c r="AA29" s="7"/>
      <c r="AB29" s="6"/>
      <c r="AG29" t="str">
        <f t="shared" si="0"/>
        <v>Benötigte Montageflächen und Freiräume gemäß Zeichnung.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s="13" t="s">
        <v>188</v>
      </c>
      <c r="AN29" t="s">
        <v>189</v>
      </c>
      <c r="AO29" t="s">
        <v>190</v>
      </c>
      <c r="AP29" t="s">
        <v>191</v>
      </c>
    </row>
    <row r="30" spans="1:42" ht="17.25" customHeight="1" x14ac:dyDescent="0.25">
      <c r="A30" s="6"/>
      <c r="B30" s="42"/>
      <c r="C30" s="42"/>
      <c r="D30" s="42"/>
      <c r="E30" s="54"/>
      <c r="F30" s="42"/>
      <c r="G30" s="42"/>
      <c r="H30" s="54"/>
      <c r="I30" s="54"/>
      <c r="L30" s="56"/>
      <c r="M30" s="56"/>
      <c r="N30" s="56"/>
      <c r="O30" s="56"/>
      <c r="P30" s="56"/>
      <c r="Q30" s="56"/>
      <c r="R30" s="7"/>
      <c r="S30" s="7"/>
      <c r="T30" s="7"/>
      <c r="U30" s="7"/>
      <c r="Y30" s="27"/>
      <c r="Z30" s="27"/>
      <c r="AA30" s="7"/>
      <c r="AB30" s="6"/>
      <c r="AG30" t="str">
        <f t="shared" si="0"/>
        <v>Elektrisch (bei elektrisch bedienten Toren):</v>
      </c>
      <c r="AH30" t="s">
        <v>192</v>
      </c>
      <c r="AI30" t="s">
        <v>193</v>
      </c>
      <c r="AJ30" t="s">
        <v>194</v>
      </c>
      <c r="AK30" t="s">
        <v>195</v>
      </c>
      <c r="AL30" t="s">
        <v>196</v>
      </c>
      <c r="AM30" s="12"/>
      <c r="AN30" t="s">
        <v>197</v>
      </c>
      <c r="AO30" t="s">
        <v>198</v>
      </c>
      <c r="AP30" t="s">
        <v>199</v>
      </c>
    </row>
    <row r="31" spans="1:42" ht="15.75" customHeight="1" x14ac:dyDescent="0.25">
      <c r="A31" s="6"/>
      <c r="B31" s="42"/>
      <c r="C31" s="54"/>
      <c r="D31" s="42"/>
      <c r="E31" s="55"/>
      <c r="F31" s="42"/>
      <c r="G31" s="54"/>
      <c r="H31" s="54"/>
      <c r="I31" s="54"/>
      <c r="K31" s="56"/>
      <c r="L31" s="56"/>
      <c r="M31" s="56"/>
      <c r="N31" s="56"/>
      <c r="O31" s="56"/>
      <c r="P31" s="56"/>
      <c r="Q31" s="56"/>
      <c r="T31" s="7"/>
      <c r="U31" s="7"/>
      <c r="Y31" s="27" t="str">
        <f>VLOOKUP(AG21,AG2:AR96,$AE$1+1,FALSE)</f>
        <v>Montage auf Porenbeton oder Gasbeton</v>
      </c>
      <c r="Z31" s="51"/>
      <c r="AA31" s="7"/>
      <c r="AB31" s="6"/>
      <c r="AG31" t="str">
        <f t="shared" si="0"/>
        <v>Stromzufuhr 400V/230V mittels Eurosteckdose, 3 Phasen+0+PE max.1 meter vom Schaltkasten.</v>
      </c>
      <c r="AH31" t="s">
        <v>200</v>
      </c>
      <c r="AI31" t="s">
        <v>201</v>
      </c>
      <c r="AJ31" t="s">
        <v>202</v>
      </c>
      <c r="AK31" t="s">
        <v>203</v>
      </c>
      <c r="AL31" t="s">
        <v>204</v>
      </c>
      <c r="AM31" s="13" t="s">
        <v>205</v>
      </c>
      <c r="AN31" t="s">
        <v>206</v>
      </c>
      <c r="AO31" t="s">
        <v>207</v>
      </c>
      <c r="AP31" t="s">
        <v>208</v>
      </c>
    </row>
    <row r="32" spans="1:42" ht="15.75" customHeight="1" x14ac:dyDescent="0.25">
      <c r="A32" s="6"/>
      <c r="B32" s="57">
        <f>IF(K7=AG102,125,IF(AND(K7=AG103,R7=AG107),375,IF(AND(K7=AG104,R7=AG107),375,125)))</f>
        <v>125</v>
      </c>
      <c r="C32" s="58"/>
      <c r="D32" s="59"/>
      <c r="F32" s="42"/>
      <c r="G32" s="58"/>
      <c r="H32" s="59"/>
      <c r="I32" s="57">
        <f>IF(K7=AG102,125,IF(AND(K7=AG103,R7=AG108),375,IF(AND(K7=AG104,R7=AG108),375,125)))</f>
        <v>125</v>
      </c>
      <c r="R32" s="60"/>
      <c r="S32" s="60"/>
      <c r="T32" s="7"/>
      <c r="U32" s="7"/>
      <c r="Y32" s="27"/>
      <c r="Z32" s="51"/>
      <c r="AA32" s="7"/>
      <c r="AB32" s="6"/>
      <c r="AG32" t="str">
        <f t="shared" si="0"/>
        <v>Montagefläche für Schaltkasten, Abmessungen 250 x 400 mm</v>
      </c>
      <c r="AH32" t="s">
        <v>209</v>
      </c>
      <c r="AI32" t="s">
        <v>210</v>
      </c>
      <c r="AJ32" t="s">
        <v>211</v>
      </c>
      <c r="AK32" t="s">
        <v>212</v>
      </c>
      <c r="AL32" t="s">
        <v>213</v>
      </c>
      <c r="AM32" s="13" t="s">
        <v>214</v>
      </c>
      <c r="AN32" t="s">
        <v>215</v>
      </c>
      <c r="AO32" t="s">
        <v>216</v>
      </c>
      <c r="AP32" t="s">
        <v>217</v>
      </c>
    </row>
    <row r="33" spans="1:42" ht="15.75" x14ac:dyDescent="0.25">
      <c r="A33" s="6"/>
      <c r="B33" s="42"/>
      <c r="C33" s="42"/>
      <c r="D33" s="188"/>
      <c r="E33" s="188"/>
      <c r="F33" s="188"/>
      <c r="G33" s="42"/>
      <c r="H33" s="61"/>
      <c r="I33" s="4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Y33" s="27"/>
      <c r="Z33" s="51"/>
      <c r="AA33" s="7"/>
      <c r="AB33" s="6"/>
    </row>
    <row r="34" spans="1:42" ht="15.75" x14ac:dyDescent="0.25">
      <c r="B34" s="58"/>
      <c r="E34" s="62">
        <f>IF($K$11="2""",80,100)</f>
        <v>100</v>
      </c>
      <c r="G34" s="63">
        <f>IF($K$11="2""",80,100)</f>
        <v>100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Y34" s="27"/>
      <c r="Z34" s="51"/>
      <c r="AA34" s="7"/>
      <c r="AB34" s="6"/>
    </row>
    <row r="35" spans="1:42" ht="15.75" x14ac:dyDescent="0.25">
      <c r="B35" s="37"/>
      <c r="C35" s="7"/>
      <c r="D35" s="7"/>
      <c r="E35" s="189"/>
      <c r="F35" s="189"/>
      <c r="G35" s="189"/>
      <c r="H35" s="7"/>
      <c r="I35" s="7"/>
      <c r="J35" s="7"/>
      <c r="K35" s="7"/>
      <c r="L35" s="7"/>
      <c r="M35" s="7"/>
      <c r="N35" s="7"/>
      <c r="O35" s="7"/>
      <c r="P35" s="7"/>
      <c r="Q35" s="190">
        <f>IF($K$9=$AG$122,290,250)</f>
        <v>250</v>
      </c>
      <c r="R35" s="7"/>
      <c r="S35" s="7"/>
      <c r="T35" s="7"/>
      <c r="U35" s="7"/>
      <c r="V35" s="7"/>
      <c r="W35" s="7"/>
      <c r="Y35" s="27"/>
      <c r="Z35" s="51"/>
      <c r="AA35" s="7"/>
      <c r="AB35" s="6"/>
      <c r="AG35" t="str">
        <f t="shared" si="0"/>
        <v>BENÖTIGTE MONTAGEFLÄCHEN</v>
      </c>
      <c r="AH35" t="s">
        <v>218</v>
      </c>
      <c r="AI35" t="s">
        <v>219</v>
      </c>
      <c r="AJ35" t="s">
        <v>220</v>
      </c>
      <c r="AK35" t="s">
        <v>221</v>
      </c>
      <c r="AL35" t="s">
        <v>222</v>
      </c>
      <c r="AM35" s="13" t="s">
        <v>223</v>
      </c>
      <c r="AN35" t="s">
        <v>224</v>
      </c>
      <c r="AO35" t="s">
        <v>225</v>
      </c>
      <c r="AP35" t="s">
        <v>226</v>
      </c>
    </row>
    <row r="36" spans="1:42" ht="63" customHeight="1" x14ac:dyDescent="0.25">
      <c r="B36" s="37"/>
      <c r="C36" s="64">
        <f>IF($K$11=$AG$128,$B$32+25,$B$32)</f>
        <v>125</v>
      </c>
      <c r="D36" s="65"/>
      <c r="E36" s="66"/>
      <c r="F36" s="67" t="str">
        <f xml:space="preserve">                                           "W= "&amp;$K$3</f>
        <v xml:space="preserve">W= </v>
      </c>
      <c r="G36" s="68"/>
      <c r="H36" s="69"/>
      <c r="I36" s="70">
        <f>IF($K$11=$AG$128,$I$32+25,$I$32)</f>
        <v>125</v>
      </c>
      <c r="J36" s="71"/>
      <c r="K36" s="7"/>
      <c r="L36" s="7"/>
      <c r="M36" s="7"/>
      <c r="N36" s="7"/>
      <c r="O36" s="7"/>
      <c r="P36" s="7"/>
      <c r="Q36" s="190"/>
      <c r="R36" s="7"/>
      <c r="S36" s="7"/>
      <c r="T36" s="7"/>
      <c r="U36" s="7"/>
      <c r="V36" s="7"/>
      <c r="W36" s="7"/>
      <c r="Y36" s="191" t="str">
        <f>VLOOKUP(AG22,AG2:AR96,$AE$1+1,FALSE)</f>
        <v>Montage auf ISO-Trapezblechfassade</v>
      </c>
      <c r="Z36" s="191"/>
      <c r="AA36" s="191"/>
      <c r="AB36" s="192"/>
      <c r="AG36" t="str">
        <f t="shared" si="0"/>
        <v>MONTAGEFLÄCHE FÜR DEN MOTOR (wahlweise L oder R)</v>
      </c>
      <c r="AH36" t="s">
        <v>227</v>
      </c>
      <c r="AI36" t="s">
        <v>228</v>
      </c>
      <c r="AJ36" t="s">
        <v>229</v>
      </c>
      <c r="AK36" t="s">
        <v>230</v>
      </c>
      <c r="AL36" t="s">
        <v>231</v>
      </c>
      <c r="AM36" t="s">
        <v>232</v>
      </c>
      <c r="AN36" t="s">
        <v>233</v>
      </c>
      <c r="AO36" t="s">
        <v>234</v>
      </c>
      <c r="AP36" t="s">
        <v>235</v>
      </c>
    </row>
    <row r="37" spans="1:42" ht="18.75" x14ac:dyDescent="0.3">
      <c r="B37" s="37"/>
      <c r="C37" s="7"/>
      <c r="D37" s="7"/>
      <c r="E37" s="17" t="str">
        <f>VLOOKUP(AG$7,AG2:$AR$96,$AE$1+1,FALSE)</f>
        <v>DURCHSCHNITT B-B</v>
      </c>
      <c r="F37" s="7"/>
      <c r="G37" s="7"/>
      <c r="H37" s="7"/>
      <c r="I37" s="7"/>
      <c r="J37" s="7"/>
      <c r="K37" s="7"/>
      <c r="L37" s="27" t="str">
        <f>VLOOKUP(AG41,AG2:AR96,$AE$1+1,FALSE)</f>
        <v>Bodenneigung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Y37" s="72"/>
      <c r="Z37" s="72"/>
      <c r="AA37" s="72"/>
      <c r="AB37" s="6"/>
      <c r="AG37" t="str">
        <f t="shared" si="0"/>
        <v>BENÖTIGTER FREIRAUM</v>
      </c>
      <c r="AH37" t="s">
        <v>236</v>
      </c>
      <c r="AI37" t="s">
        <v>237</v>
      </c>
      <c r="AJ37" t="s">
        <v>238</v>
      </c>
      <c r="AK37" t="s">
        <v>239</v>
      </c>
      <c r="AL37" t="s">
        <v>240</v>
      </c>
      <c r="AM37" s="13" t="s">
        <v>241</v>
      </c>
      <c r="AN37" t="s">
        <v>242</v>
      </c>
      <c r="AO37" t="s">
        <v>243</v>
      </c>
      <c r="AP37" t="s">
        <v>244</v>
      </c>
    </row>
    <row r="38" spans="1:42" ht="15.75" x14ac:dyDescent="0.25">
      <c r="B38" s="3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L38" s="73"/>
    </row>
    <row r="39" spans="1:42" ht="15.75" customHeight="1" x14ac:dyDescent="0.25">
      <c r="B39" s="37"/>
      <c r="C39" s="193">
        <f>IF($K$9=$AG$122,290,250)</f>
        <v>250</v>
      </c>
      <c r="D39" s="7"/>
      <c r="F39" s="7"/>
      <c r="H39" s="7"/>
      <c r="I39" s="7"/>
      <c r="J39" s="7"/>
      <c r="K39" s="7"/>
      <c r="L39" s="7"/>
      <c r="N39" s="51"/>
      <c r="O39" s="2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1:42" ht="15.75" x14ac:dyDescent="0.25">
      <c r="B40" s="37"/>
      <c r="C40" s="193"/>
      <c r="D40" s="74"/>
      <c r="E40" s="194"/>
      <c r="F40" s="194"/>
      <c r="G40" s="7"/>
      <c r="H40" s="7"/>
      <c r="I40" s="7"/>
      <c r="J40" s="7"/>
      <c r="K40" s="7"/>
      <c r="L40" s="7"/>
      <c r="M40" s="7"/>
      <c r="N40" s="27"/>
      <c r="O40" s="5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</row>
    <row r="41" spans="1:42" ht="15.75" x14ac:dyDescent="0.25">
      <c r="B41" s="37"/>
      <c r="C41" s="193"/>
      <c r="D41" s="7"/>
      <c r="E41" s="7"/>
      <c r="F41" s="7"/>
      <c r="G41" s="7"/>
      <c r="H41" s="7"/>
      <c r="I41" s="7"/>
      <c r="J41" s="7"/>
      <c r="K41" s="7"/>
      <c r="L41" s="7"/>
      <c r="M41" s="7"/>
      <c r="N41" s="27"/>
      <c r="O41" s="5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G41" t="str">
        <f t="shared" si="0"/>
        <v>Bodenneigung</v>
      </c>
      <c r="AH41" t="s">
        <v>245</v>
      </c>
      <c r="AI41" t="s">
        <v>246</v>
      </c>
      <c r="AJ41" t="s">
        <v>247</v>
      </c>
      <c r="AK41" t="s">
        <v>248</v>
      </c>
      <c r="AL41" t="s">
        <v>249</v>
      </c>
      <c r="AM41" s="13" t="s">
        <v>250</v>
      </c>
      <c r="AN41" t="s">
        <v>251</v>
      </c>
      <c r="AO41" t="s">
        <v>252</v>
      </c>
      <c r="AP41" t="s">
        <v>253</v>
      </c>
    </row>
    <row r="42" spans="1:42" ht="15.75" x14ac:dyDescent="0.25">
      <c r="B42" s="37"/>
      <c r="C42" s="193"/>
      <c r="D42" s="7"/>
      <c r="E42" s="7"/>
      <c r="F42" s="7"/>
      <c r="G42" s="7"/>
      <c r="H42" s="7"/>
      <c r="I42" s="7"/>
      <c r="J42" s="7"/>
      <c r="K42" s="7"/>
      <c r="L42" s="7"/>
      <c r="M42" s="7"/>
      <c r="O42" s="5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G42" t="str">
        <f t="shared" si="0"/>
        <v>nach aussen</v>
      </c>
      <c r="AH42" t="s">
        <v>254</v>
      </c>
      <c r="AI42" t="s">
        <v>255</v>
      </c>
      <c r="AJ42" t="s">
        <v>256</v>
      </c>
      <c r="AK42" t="s">
        <v>257</v>
      </c>
      <c r="AL42" t="str">
        <f>""</f>
        <v/>
      </c>
      <c r="AM42" s="13" t="s">
        <v>258</v>
      </c>
      <c r="AN42" t="s">
        <v>259</v>
      </c>
      <c r="AO42" t="s">
        <v>260</v>
      </c>
    </row>
    <row r="43" spans="1:42" ht="15.75" customHeight="1" x14ac:dyDescent="0.25">
      <c r="B43" s="37"/>
      <c r="C43" s="193"/>
      <c r="D43" s="7"/>
      <c r="E43" s="74"/>
      <c r="F43" s="75">
        <f>$B$32+$I$32+$K$3</f>
        <v>250</v>
      </c>
      <c r="G43" s="76"/>
      <c r="H43" s="7"/>
      <c r="I43" s="7"/>
      <c r="J43" s="7"/>
      <c r="K43" s="7"/>
      <c r="L43" s="7"/>
      <c r="M43" s="7"/>
      <c r="N43" s="27"/>
      <c r="O43" s="5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G43" t="str">
        <f t="shared" si="0"/>
        <v>Gefälle 3%</v>
      </c>
      <c r="AH43" t="s">
        <v>261</v>
      </c>
      <c r="AI43" t="s">
        <v>262</v>
      </c>
      <c r="AJ43" t="s">
        <v>263</v>
      </c>
      <c r="AK43" t="s">
        <v>264</v>
      </c>
      <c r="AL43" t="s">
        <v>265</v>
      </c>
      <c r="AM43" s="13" t="s">
        <v>266</v>
      </c>
      <c r="AN43" t="s">
        <v>267</v>
      </c>
      <c r="AO43" t="s">
        <v>268</v>
      </c>
      <c r="AP43" t="s">
        <v>269</v>
      </c>
    </row>
    <row r="44" spans="1:42" ht="15.75" x14ac:dyDescent="0.25">
      <c r="B44" s="37"/>
      <c r="C44" s="7"/>
      <c r="D44" s="7"/>
      <c r="E44" s="7"/>
      <c r="F44" s="7"/>
      <c r="G44" s="7"/>
      <c r="H44" s="7"/>
      <c r="I44" s="7"/>
      <c r="J44" s="7"/>
      <c r="K44" s="7"/>
      <c r="L44" s="27"/>
      <c r="M44" s="7"/>
      <c r="N44" s="27"/>
      <c r="O44" s="51"/>
      <c r="P44" s="7"/>
      <c r="Q44" s="7"/>
      <c r="R44" s="7"/>
      <c r="U44" s="7"/>
      <c r="V44" s="7"/>
      <c r="W44" s="7"/>
      <c r="X44" s="7"/>
      <c r="Y44" s="7"/>
      <c r="Z44" s="7"/>
      <c r="AA44" s="7"/>
      <c r="AB44" s="6"/>
      <c r="AG44" t="str">
        <f t="shared" si="0"/>
        <v>Wasserschenkel</v>
      </c>
      <c r="AH44" t="s">
        <v>254</v>
      </c>
      <c r="AI44" t="s">
        <v>270</v>
      </c>
      <c r="AJ44" t="s">
        <v>271</v>
      </c>
      <c r="AK44" t="s">
        <v>257</v>
      </c>
      <c r="AL44" t="s">
        <v>249</v>
      </c>
      <c r="AM44" s="13" t="s">
        <v>272</v>
      </c>
      <c r="AN44" t="s">
        <v>273</v>
      </c>
      <c r="AO44" t="s">
        <v>274</v>
      </c>
    </row>
    <row r="45" spans="1:42" ht="15.75" x14ac:dyDescent="0.25">
      <c r="B45" s="37"/>
      <c r="C45" s="7"/>
      <c r="G45" s="7"/>
      <c r="H45" s="7"/>
      <c r="I45" s="7"/>
      <c r="J45" s="7"/>
      <c r="K45" s="7"/>
      <c r="L45" s="7"/>
      <c r="M45" s="7"/>
      <c r="N45" s="27"/>
      <c r="O45" s="51"/>
      <c r="P45" s="7"/>
      <c r="R45" s="42" t="str">
        <f>VLOOKUP(AG35,AG2:AR96,$AE$1+1,FALSE)</f>
        <v>BENÖTIGTE MONTAGEFLÄCHEN</v>
      </c>
      <c r="S45" s="54"/>
      <c r="T45" s="42"/>
      <c r="U45" s="42"/>
      <c r="V45" s="42"/>
      <c r="W45" s="54"/>
      <c r="X45" s="42" t="str">
        <f>VLOOKUP(AG37,AG4:AR97,$AE$1+1,FALSE)</f>
        <v>BENÖTIGTER FREIRAUM</v>
      </c>
      <c r="Y45" s="42"/>
      <c r="Z45" s="42"/>
      <c r="AA45" s="42"/>
      <c r="AB45" s="6"/>
      <c r="AG45" t="str">
        <f t="shared" si="0"/>
        <v>Boden mit</v>
      </c>
      <c r="AH45" t="s">
        <v>245</v>
      </c>
      <c r="AI45" t="s">
        <v>275</v>
      </c>
      <c r="AJ45" t="s">
        <v>276</v>
      </c>
      <c r="AK45" t="s">
        <v>248</v>
      </c>
      <c r="AL45" t="str">
        <f>""</f>
        <v/>
      </c>
      <c r="AM45" s="13" t="s">
        <v>277</v>
      </c>
      <c r="AN45" t="s">
        <v>278</v>
      </c>
      <c r="AO45" t="s">
        <v>279</v>
      </c>
      <c r="AP45" t="s">
        <v>280</v>
      </c>
    </row>
    <row r="46" spans="1:42" ht="15.75" x14ac:dyDescent="0.25">
      <c r="B46" s="3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1"/>
      <c r="P46" s="7"/>
      <c r="R46" s="42"/>
      <c r="S46" s="54"/>
      <c r="T46" s="42"/>
      <c r="U46" s="42"/>
      <c r="V46" s="42"/>
      <c r="W46" s="54"/>
      <c r="X46" s="42"/>
      <c r="Y46" s="42"/>
      <c r="Z46" s="42"/>
      <c r="AA46" s="42"/>
      <c r="AB46" s="6"/>
    </row>
    <row r="47" spans="1:42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7"/>
      <c r="R47" s="42" t="str">
        <f>VLOOKUP(AG36,AG4:AR97,$AE$1+1,FALSE)</f>
        <v>MONTAGEFLÄCHE FÜR DEN MOTOR (wahlweise L oder R)</v>
      </c>
      <c r="S47" s="42"/>
      <c r="T47" s="42"/>
      <c r="U47" s="42"/>
      <c r="V47" s="42"/>
      <c r="W47" s="54"/>
      <c r="X47" s="42"/>
      <c r="Y47" s="42"/>
      <c r="Z47" s="42"/>
      <c r="AA47" s="42"/>
      <c r="AB47" s="6"/>
    </row>
    <row r="48" spans="1:42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G48" t="str">
        <f t="shared" si="0"/>
        <v>Benötigter Freiraum bei Elektro- oder Haspelkettenbedienung (wahlweise L oder R)</v>
      </c>
      <c r="AH48" t="s">
        <v>281</v>
      </c>
      <c r="AI48" t="s">
        <v>282</v>
      </c>
      <c r="AJ48" t="s">
        <v>283</v>
      </c>
      <c r="AK48" t="s">
        <v>284</v>
      </c>
      <c r="AL48" t="s">
        <v>285</v>
      </c>
      <c r="AM48" s="13" t="s">
        <v>286</v>
      </c>
      <c r="AN48" t="s">
        <v>287</v>
      </c>
      <c r="AO48" t="s">
        <v>288</v>
      </c>
      <c r="AP48" t="s">
        <v>289</v>
      </c>
    </row>
    <row r="49" spans="1:42" ht="15.75" x14ac:dyDescent="0.25">
      <c r="A49" s="6"/>
      <c r="K49" s="27"/>
      <c r="L49" s="7"/>
      <c r="M49" s="7"/>
      <c r="N49" s="7"/>
      <c r="O49" s="7"/>
      <c r="P49" s="7"/>
      <c r="Q49" s="7"/>
      <c r="AB49" s="6"/>
      <c r="AG49" t="str">
        <f t="shared" si="0"/>
        <v>Montagefläche für Antriebsteuerung Mass 250 x 400 mm</v>
      </c>
      <c r="AH49" t="s">
        <v>290</v>
      </c>
      <c r="AI49" t="s">
        <v>291</v>
      </c>
      <c r="AJ49" t="s">
        <v>292</v>
      </c>
      <c r="AK49" t="s">
        <v>293</v>
      </c>
      <c r="AL49" t="s">
        <v>294</v>
      </c>
      <c r="AM49" s="13" t="s">
        <v>295</v>
      </c>
      <c r="AN49" t="s">
        <v>296</v>
      </c>
      <c r="AO49" t="s">
        <v>297</v>
      </c>
      <c r="AP49" t="s">
        <v>298</v>
      </c>
    </row>
    <row r="50" spans="1:42" ht="15.75" x14ac:dyDescent="0.25">
      <c r="A50" s="6"/>
      <c r="K50" s="27"/>
      <c r="L50" s="7"/>
      <c r="M50" s="7"/>
      <c r="N50" s="7"/>
      <c r="O50" s="7"/>
      <c r="P50" s="7"/>
      <c r="Q50" s="7"/>
      <c r="AB50" s="6"/>
      <c r="AG50" t="str">
        <f t="shared" si="0"/>
        <v>Achse ca. 1.400 bis 1.500 mm vom Boden</v>
      </c>
      <c r="AH50" t="s">
        <v>299</v>
      </c>
      <c r="AI50" t="s">
        <v>300</v>
      </c>
      <c r="AJ50" t="s">
        <v>301</v>
      </c>
      <c r="AK50" t="s">
        <v>302</v>
      </c>
      <c r="AL50" t="s">
        <v>303</v>
      </c>
      <c r="AM50" s="13" t="s">
        <v>304</v>
      </c>
      <c r="AN50" t="s">
        <v>305</v>
      </c>
      <c r="AO50" t="s">
        <v>306</v>
      </c>
      <c r="AP50" t="s">
        <v>307</v>
      </c>
    </row>
    <row r="51" spans="1:42" ht="15.75" x14ac:dyDescent="0.25">
      <c r="A51" s="6"/>
      <c r="K51" s="27"/>
      <c r="L51" s="7"/>
      <c r="M51" s="7"/>
      <c r="N51" s="7"/>
      <c r="O51" s="7"/>
      <c r="R51" s="184" t="str">
        <f>VLOOKUP(AG25,AG2:AR96,$AE$1+1,FALSE)</f>
        <v>VORBEREITUNGEN UND ARBEITEN DIE VOM AUFTRAGGEBER ZU ERBRINGEN SIND, AUßER BEI SCHRIFTLICHER VEREINBARUNG IM VORAUS:</v>
      </c>
      <c r="S51" s="184"/>
      <c r="T51" s="184"/>
      <c r="U51" s="184"/>
      <c r="V51" s="184"/>
      <c r="W51" s="184"/>
      <c r="X51" s="184"/>
      <c r="Y51" s="184"/>
      <c r="Z51" s="184"/>
      <c r="AA51" s="184"/>
      <c r="AB51" s="185"/>
      <c r="AG51" t="str">
        <f t="shared" si="0"/>
        <v>Steckdose CEE 16 A, 5P, 400 V, Sicherung 6 A (10 A) mit Schutzschalter, Stromschutz  I=30 mA.</v>
      </c>
      <c r="AH51" t="s">
        <v>308</v>
      </c>
      <c r="AI51" t="s">
        <v>309</v>
      </c>
      <c r="AJ51" t="s">
        <v>310</v>
      </c>
      <c r="AK51" t="s">
        <v>311</v>
      </c>
      <c r="AL51" t="s">
        <v>312</v>
      </c>
      <c r="AM51" s="13" t="s">
        <v>313</v>
      </c>
      <c r="AN51" t="s">
        <v>314</v>
      </c>
      <c r="AO51" t="s">
        <v>315</v>
      </c>
      <c r="AP51" t="s">
        <v>316</v>
      </c>
    </row>
    <row r="52" spans="1:42" ht="15.75" x14ac:dyDescent="0.25">
      <c r="A52" s="6"/>
      <c r="K52" s="27"/>
      <c r="L52" s="7"/>
      <c r="M52" s="7"/>
      <c r="N52" s="7"/>
      <c r="O52" s="7"/>
      <c r="Q52" s="7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5"/>
      <c r="AC52" s="7"/>
    </row>
    <row r="53" spans="1:42" ht="15.75" customHeight="1" x14ac:dyDescent="0.25">
      <c r="A53" s="6"/>
      <c r="B53" s="27" t="str">
        <f>VLOOKUP(AG8,AG2:AR96,$AE$1+1,FALSE)</f>
        <v>ACHTUNG:</v>
      </c>
      <c r="C53" s="27"/>
      <c r="D53" s="27"/>
      <c r="E53" s="27"/>
      <c r="F53" s="27"/>
      <c r="G53" s="27"/>
      <c r="H53" s="27"/>
      <c r="I53" s="27"/>
      <c r="J53" s="27"/>
      <c r="K53" s="27"/>
      <c r="L53" s="7"/>
      <c r="M53" s="7"/>
      <c r="N53" s="7"/>
      <c r="O53" s="7"/>
      <c r="Q53" s="7"/>
      <c r="R53" s="7" t="str">
        <f>VLOOKUP(AG26,AG2:AR96,$AE$1+1,FALSE)</f>
        <v>Bauseits:</v>
      </c>
      <c r="AB53" s="6"/>
      <c r="AC53" s="7"/>
    </row>
    <row r="54" spans="1:42" ht="15.75" customHeight="1" x14ac:dyDescent="0.25">
      <c r="A54" s="6"/>
      <c r="B54" s="51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7"/>
      <c r="N54" s="7"/>
      <c r="O54" s="7"/>
      <c r="Q54" s="7"/>
      <c r="R54" s="186" t="str">
        <f>VLOOKUP(AG27,AG2:AR96,$AE$1+1,FALSE)</f>
        <v>Ein stählerner Montagerahmen zur Befestigung der vertikalen Laufschienen und des Federpakets bei nicht tragfähigen Flächen wie z.B. Porenbeton, Gasbeton, Isolationspanelen u.s.w..</v>
      </c>
      <c r="S54" s="186"/>
      <c r="T54" s="186"/>
      <c r="U54" s="186"/>
      <c r="V54" s="186"/>
      <c r="W54" s="186"/>
      <c r="X54" s="186"/>
      <c r="Y54" s="186"/>
      <c r="Z54" s="186"/>
      <c r="AA54" s="186"/>
      <c r="AB54" s="187"/>
      <c r="AC54" s="7"/>
    </row>
    <row r="55" spans="1:42" ht="15.75" customHeight="1" x14ac:dyDescent="0.25">
      <c r="A55" s="6"/>
      <c r="B55" s="77" t="str">
        <f>VLOOKUP(AG55,AG2:AR96,$AE$1+1,FALSE)</f>
        <v>Fläche, an die montiert wird, muss gerade und fest sein und alle Montageflächen müssen in einer Ebene sein.</v>
      </c>
      <c r="C55" s="78"/>
      <c r="D55" s="78"/>
      <c r="E55" s="78"/>
      <c r="F55" s="78"/>
      <c r="G55" s="78"/>
      <c r="H55" s="78"/>
      <c r="I55" s="78"/>
      <c r="J55" s="78"/>
      <c r="Q55" s="7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  <c r="AC55" s="7"/>
      <c r="AG55" t="str">
        <f t="shared" si="0"/>
        <v>Fläche, an die montiert wird, muss gerade und fest sein und alle Montageflächen müssen in einer Ebene sein.</v>
      </c>
      <c r="AH55" t="s">
        <v>317</v>
      </c>
      <c r="AI55" t="s">
        <v>318</v>
      </c>
      <c r="AJ55" t="s">
        <v>319</v>
      </c>
      <c r="AK55" t="s">
        <v>320</v>
      </c>
      <c r="AL55" t="s">
        <v>321</v>
      </c>
      <c r="AM55" s="13" t="s">
        <v>322</v>
      </c>
      <c r="AN55" t="s">
        <v>323</v>
      </c>
      <c r="AO55" t="s">
        <v>324</v>
      </c>
      <c r="AP55" t="s">
        <v>325</v>
      </c>
    </row>
    <row r="56" spans="1:42" ht="15.75" x14ac:dyDescent="0.25">
      <c r="A56" s="6"/>
      <c r="B56" s="79" t="str">
        <f>VLOOKUP(AG56,AG2:AR96,$AE$1+1,FALSE)</f>
        <v>Im übrigen müssen die lichten Masse eben und rechtwinklig sein.</v>
      </c>
      <c r="C56" s="27"/>
      <c r="D56" s="27"/>
      <c r="E56" s="27"/>
      <c r="F56" s="27"/>
      <c r="G56" s="27"/>
      <c r="H56" s="27"/>
      <c r="I56" s="27"/>
      <c r="J56" s="27"/>
      <c r="Q56" s="7"/>
      <c r="AB56" s="6"/>
      <c r="AC56" s="7"/>
      <c r="AG56" t="str">
        <f t="shared" si="0"/>
        <v>Im übrigen müssen die lichten Masse eben und rechtwinklig sein.</v>
      </c>
      <c r="AH56" t="s">
        <v>326</v>
      </c>
      <c r="AI56" t="s">
        <v>327</v>
      </c>
      <c r="AJ56" t="s">
        <v>328</v>
      </c>
      <c r="AK56" t="s">
        <v>329</v>
      </c>
      <c r="AL56" t="s">
        <v>330</v>
      </c>
      <c r="AM56" s="13" t="s">
        <v>331</v>
      </c>
      <c r="AN56" t="s">
        <v>332</v>
      </c>
      <c r="AO56" t="s">
        <v>333</v>
      </c>
      <c r="AP56" t="s">
        <v>334</v>
      </c>
    </row>
    <row r="57" spans="1:42" ht="15.75" x14ac:dyDescent="0.25">
      <c r="A57" s="6"/>
      <c r="B57" s="27" t="str">
        <f>VLOOKUP(AG57,AG2:AR96,$AE$1+1,FALSE)</f>
        <v>Der Fussboden muss glatt und waagerecht sein.</v>
      </c>
      <c r="C57" s="27"/>
      <c r="D57" s="27"/>
      <c r="E57" s="27"/>
      <c r="F57" s="27"/>
      <c r="G57" s="27"/>
      <c r="H57" s="27"/>
      <c r="I57" s="27"/>
      <c r="J57" s="27"/>
      <c r="K57" s="7"/>
      <c r="S57" s="7"/>
      <c r="T57" s="7"/>
      <c r="U57" s="7"/>
      <c r="V57" s="7"/>
      <c r="W57" s="7"/>
      <c r="X57" s="7"/>
      <c r="Y57" s="7"/>
      <c r="Z57" s="7"/>
      <c r="AA57" s="7"/>
      <c r="AB57" s="6"/>
      <c r="AG57" t="str">
        <f t="shared" si="0"/>
        <v>Der Fussboden muss glatt und waagerecht sein.</v>
      </c>
      <c r="AH57" t="s">
        <v>335</v>
      </c>
      <c r="AI57" t="s">
        <v>336</v>
      </c>
      <c r="AJ57" t="s">
        <v>337</v>
      </c>
      <c r="AK57" t="s">
        <v>338</v>
      </c>
      <c r="AL57" t="s">
        <v>339</v>
      </c>
      <c r="AM57" s="13" t="s">
        <v>340</v>
      </c>
      <c r="AN57" t="s">
        <v>341</v>
      </c>
      <c r="AO57" t="s">
        <v>342</v>
      </c>
      <c r="AP57" t="s">
        <v>343</v>
      </c>
    </row>
    <row r="58" spans="1:42" ht="15.75" thickBot="1" x14ac:dyDescent="0.3">
      <c r="A58" s="6"/>
      <c r="B58" t="str">
        <f>AG124</f>
        <v>Wenn 1 1/4 "Welle und Wellenachse H + 180 mm</v>
      </c>
      <c r="D58" s="1"/>
      <c r="E58" s="1"/>
      <c r="F58" s="1"/>
      <c r="G58" s="1"/>
      <c r="H58" s="1"/>
      <c r="I58" s="1"/>
      <c r="J58" s="1"/>
      <c r="K58" s="1"/>
      <c r="L58" s="1"/>
      <c r="R58" s="7" t="str">
        <f>VLOOKUP(AG29,AG2:AR96,$AE$1+1,FALSE)</f>
        <v>Benötigte Montageflächen und Freiräume gemäß Zeichnung.</v>
      </c>
      <c r="S58" s="7"/>
      <c r="T58" s="7"/>
      <c r="U58" s="7"/>
      <c r="V58" s="7"/>
      <c r="W58" s="7"/>
      <c r="X58" s="7"/>
      <c r="Y58" s="7"/>
      <c r="Z58" s="7"/>
      <c r="AA58" s="7"/>
      <c r="AB58" s="6"/>
    </row>
    <row r="59" spans="1:42" ht="15.75" thickBot="1" x14ac:dyDescent="0.3">
      <c r="A59" s="6"/>
      <c r="B59" s="80" t="str">
        <f>VLOOKUP(AG60,AG2:AR96,$AE$1+1,FALSE)</f>
        <v>MASSE in mm</v>
      </c>
      <c r="C59" s="81"/>
      <c r="D59" s="1"/>
      <c r="E59" s="1"/>
      <c r="F59" s="82"/>
      <c r="G59" s="83" t="str">
        <f>VLOOKUP(AG74,AG6:AR99,$AE$1+1,FALSE)</f>
        <v>Handbedienung</v>
      </c>
      <c r="H59" s="83"/>
      <c r="I59" s="83"/>
      <c r="J59" s="83"/>
      <c r="K59" s="83"/>
      <c r="L59" s="84"/>
      <c r="M59" s="85" t="str">
        <f>VLOOKUP(AG81,AG6:AR99,$AE$1+1,FALSE)</f>
        <v>Freiraum über Sturz</v>
      </c>
      <c r="N59" s="85"/>
      <c r="O59" s="85"/>
      <c r="P59" s="86"/>
      <c r="R59" s="7" t="str">
        <f>VLOOKUP(AG31,AG2:AR96,$AE$1+1,FALSE)</f>
        <v>Stromzufuhr 400V/230V mittels Eurosteckdose, 3 Phasen+0+PE max.1 meter vom Schaltkasten.</v>
      </c>
      <c r="S59" s="7"/>
      <c r="T59" s="7"/>
      <c r="U59" s="7"/>
      <c r="V59" s="7"/>
      <c r="W59" s="7"/>
      <c r="X59" s="7"/>
      <c r="AA59" s="7"/>
      <c r="AB59" s="6"/>
    </row>
    <row r="60" spans="1:42" ht="15.75" thickBot="1" x14ac:dyDescent="0.3">
      <c r="A60" s="6"/>
      <c r="B60" s="87" t="s">
        <v>344</v>
      </c>
      <c r="C60" s="88" t="str">
        <f>VLOOKUP(AG61,AG2:AR96,$AE$1+1,FALSE)</f>
        <v>Lichte Breite</v>
      </c>
      <c r="D60" s="89"/>
      <c r="E60" s="88"/>
      <c r="F60" s="90"/>
      <c r="G60" s="87" t="s">
        <v>345</v>
      </c>
      <c r="H60" s="89" t="str">
        <f>VLOOKUP(AG75,AG6:AR99,$AE$1+1,FALSE)</f>
        <v>Beide Seiten</v>
      </c>
      <c r="I60" s="89"/>
      <c r="J60" s="16"/>
      <c r="K60" s="89"/>
      <c r="L60" s="90" t="str">
        <f>IF(K11=AG128,"min. 150","min. 125")</f>
        <v>min. 125</v>
      </c>
      <c r="M60" s="91" t="s">
        <v>346</v>
      </c>
      <c r="N60" s="92" t="s">
        <v>347</v>
      </c>
      <c r="O60" s="93"/>
      <c r="P60" s="94">
        <f>IF(OR(K5=0,K5=""),0,K5+400)</f>
        <v>0</v>
      </c>
      <c r="R60" t="str">
        <f>AG32</f>
        <v>Montagefläche für Schaltkasten, Abmessungen 250 x 400 mm</v>
      </c>
      <c r="AA60" s="1"/>
      <c r="AB60" s="82"/>
      <c r="AG60" t="str">
        <f t="shared" si="0"/>
        <v>MASSE in mm</v>
      </c>
      <c r="AH60" t="s">
        <v>348</v>
      </c>
      <c r="AI60" t="s">
        <v>349</v>
      </c>
      <c r="AJ60" t="s">
        <v>350</v>
      </c>
      <c r="AK60" t="s">
        <v>351</v>
      </c>
      <c r="AL60" t="s">
        <v>352</v>
      </c>
      <c r="AM60" s="95" t="s">
        <v>353</v>
      </c>
      <c r="AN60" t="s">
        <v>354</v>
      </c>
      <c r="AO60" t="s">
        <v>355</v>
      </c>
      <c r="AP60" t="s">
        <v>356</v>
      </c>
    </row>
    <row r="61" spans="1:42" ht="15.75" thickBot="1" x14ac:dyDescent="0.3">
      <c r="B61" s="87" t="s">
        <v>357</v>
      </c>
      <c r="C61" s="88" t="str">
        <f>VLOOKUP(AG62,AG3:AR96,$AE$1+1,FALSE)</f>
        <v>Lichte Höhe</v>
      </c>
      <c r="D61" s="89"/>
      <c r="E61" s="89"/>
      <c r="F61" s="90"/>
      <c r="G61" s="87"/>
      <c r="H61" s="89"/>
      <c r="I61" s="89"/>
      <c r="J61" s="89"/>
      <c r="K61" s="96"/>
      <c r="L61" s="90"/>
      <c r="M61" s="97" t="str">
        <f>VLOOKUP(AG82,AG6:AR99,$AE$1+1,FALSE)</f>
        <v>Mitte Achse zum Sturz</v>
      </c>
      <c r="N61" s="85"/>
      <c r="O61" s="98"/>
      <c r="P61" s="99"/>
      <c r="Q61" s="7"/>
      <c r="R61" s="164" t="str">
        <f>VLOOKUP(AG85,AG2:AR96,$AE$1+1,FALSE)</f>
        <v>Aufgestellt:</v>
      </c>
      <c r="S61" s="165"/>
      <c r="T61" s="164" t="str">
        <f>VLOOKUP(AG86,AG2:AR96,$AE$1+1,FALSE)</f>
        <v>Bereinigt:</v>
      </c>
      <c r="U61" s="165"/>
      <c r="V61" s="164" t="str">
        <f>VLOOKUP(AG87,AG2:AR96,$AE$1+1,FALSE)</f>
        <v>Bereinigt am:</v>
      </c>
      <c r="W61" s="165"/>
      <c r="X61" s="164" t="str">
        <f>VLOOKUP(AG88,AG2:AR96,$AE$1+1,FALSE)</f>
        <v>Dateiname:</v>
      </c>
      <c r="Y61" s="165"/>
      <c r="Z61" s="100" t="str">
        <f>VLOOKUP(AG89,AG2:AR96,$AE$1+1,FALSE)</f>
        <v>Datum:</v>
      </c>
      <c r="AA61" s="101" t="str">
        <f>VLOOKUP(AG90,AG2:AR96,$AE$1+1,FALSE)</f>
        <v>Massst.:</v>
      </c>
      <c r="AB61" s="31" t="str">
        <f>VLOOKUP(AG91,AG2:AR96,$AE$1+1,FALSE)</f>
        <v>Format:</v>
      </c>
      <c r="AG61" t="str">
        <f t="shared" si="0"/>
        <v>Lichte Breite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s="95" t="s">
        <v>29</v>
      </c>
      <c r="AN61" t="s">
        <v>30</v>
      </c>
      <c r="AO61" t="s">
        <v>31</v>
      </c>
      <c r="AP61" t="s">
        <v>358</v>
      </c>
    </row>
    <row r="62" spans="1:42" ht="15.75" thickBot="1" x14ac:dyDescent="0.3">
      <c r="B62" s="87" t="s">
        <v>359</v>
      </c>
      <c r="C62" s="88" t="str">
        <f>VLOOKUP(AG65,AG5:AR98,$AE$1+1,FALSE)</f>
        <v>Freiraum über Sturz</v>
      </c>
      <c r="D62" s="89"/>
      <c r="E62" s="89"/>
      <c r="F62" s="90"/>
      <c r="G62" s="97" t="str">
        <f>VLOOKUP(AG76,AG6:AR99,$AE$1+1,FALSE)</f>
        <v>Elektrisch- oder Haspelkettenbedient</v>
      </c>
      <c r="H62" s="102"/>
      <c r="I62" s="102"/>
      <c r="J62" s="102"/>
      <c r="K62" s="102"/>
      <c r="L62" s="103"/>
      <c r="M62" s="101" t="s">
        <v>360</v>
      </c>
      <c r="N62" s="104"/>
      <c r="O62" s="104"/>
      <c r="P62" s="105">
        <f>IF(K5&lt;=3300,K5+130,IF(AND(K5&gt;3300,K5&lt;=5950),K5+150,K5+180))</f>
        <v>130</v>
      </c>
      <c r="Q62" s="7"/>
      <c r="R62" s="164" t="s">
        <v>361</v>
      </c>
      <c r="S62" s="165"/>
      <c r="T62" s="164" t="s">
        <v>362</v>
      </c>
      <c r="U62" s="165"/>
      <c r="V62" s="168">
        <v>43732</v>
      </c>
      <c r="W62" s="165"/>
      <c r="X62" s="164" t="s">
        <v>363</v>
      </c>
      <c r="Y62" s="165"/>
      <c r="Z62" s="106">
        <v>43732</v>
      </c>
      <c r="AA62" s="107" t="s">
        <v>364</v>
      </c>
      <c r="AB62" s="108" t="s">
        <v>365</v>
      </c>
      <c r="AG62" t="str">
        <f t="shared" si="0"/>
        <v>Lichte Höhe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s="95" t="s">
        <v>39</v>
      </c>
      <c r="AN62" t="s">
        <v>40</v>
      </c>
      <c r="AO62" t="s">
        <v>41</v>
      </c>
      <c r="AP62" t="s">
        <v>366</v>
      </c>
    </row>
    <row r="63" spans="1:42" ht="15.75" customHeight="1" thickBot="1" x14ac:dyDescent="0.3">
      <c r="A63" s="6"/>
      <c r="B63" s="87" t="s">
        <v>367</v>
      </c>
      <c r="C63" s="88" t="str">
        <f>VLOOKUP(AG82,AG6:AR99,$AE$1+1,FALSE)</f>
        <v>Mitte Achse zum Sturz</v>
      </c>
      <c r="D63" s="89"/>
      <c r="E63" s="89"/>
      <c r="F63" s="90"/>
      <c r="G63" s="87" t="s">
        <v>345</v>
      </c>
      <c r="H63" s="89" t="str">
        <f>VLOOKUP(AG77,AG6:AR99,$AE$1+1,FALSE)</f>
        <v>Motor-oder Kettenseite</v>
      </c>
      <c r="I63" s="89"/>
      <c r="J63" s="16"/>
      <c r="K63" s="89"/>
      <c r="L63" s="90" t="str">
        <f>IF(K11=AG128,"min. 400","min. 375")</f>
        <v>min. 375</v>
      </c>
      <c r="M63" s="109" t="s">
        <v>368</v>
      </c>
      <c r="N63" s="110"/>
      <c r="O63" s="111"/>
      <c r="P63" s="112" t="s">
        <v>369</v>
      </c>
      <c r="Q63" s="7"/>
      <c r="R63" s="169" t="s">
        <v>370</v>
      </c>
      <c r="S63" s="170"/>
      <c r="T63" s="170"/>
      <c r="U63" s="171"/>
      <c r="V63" s="175" t="str">
        <f>VLOOKUP(AG94,AG2:AR96,$AE$1+1,FALSE)</f>
        <v>BAUBEREITSCHAFT VERTIKALER BESCHLAG (VL)</v>
      </c>
      <c r="W63" s="176"/>
      <c r="X63" s="176"/>
      <c r="Y63" s="176"/>
      <c r="Z63" s="176"/>
      <c r="AA63" s="176"/>
      <c r="AB63" s="177"/>
      <c r="AG63" t="str">
        <f t="shared" si="0"/>
        <v>Höhe der Führung</v>
      </c>
      <c r="AH63" t="s">
        <v>371</v>
      </c>
      <c r="AI63" t="s">
        <v>371</v>
      </c>
      <c r="AJ63" t="s">
        <v>372</v>
      </c>
      <c r="AK63" t="s">
        <v>373</v>
      </c>
      <c r="AL63" t="s">
        <v>374</v>
      </c>
      <c r="AM63" s="113" t="s">
        <v>371</v>
      </c>
      <c r="AN63" t="s">
        <v>375</v>
      </c>
      <c r="AO63" t="s">
        <v>376</v>
      </c>
      <c r="AP63" t="s">
        <v>377</v>
      </c>
    </row>
    <row r="64" spans="1:42" ht="15.75" customHeight="1" thickBot="1" x14ac:dyDescent="0.3">
      <c r="A64" s="6"/>
      <c r="B64" s="87" t="s">
        <v>378</v>
      </c>
      <c r="C64" s="88" t="str">
        <f>VLOOKUP(AG67,AG7:AR100,$AE$1+1,FALSE)</f>
        <v>Freiraum LINKS</v>
      </c>
      <c r="F64" s="90"/>
      <c r="G64" s="87"/>
      <c r="H64" s="89"/>
      <c r="I64" s="89"/>
      <c r="J64" s="89"/>
      <c r="K64" s="96"/>
      <c r="L64" s="90"/>
      <c r="M64" s="114" t="s">
        <v>379</v>
      </c>
      <c r="N64" s="115"/>
      <c r="O64" s="116"/>
      <c r="P64" s="117" t="s">
        <v>380</v>
      </c>
      <c r="Q64" s="7"/>
      <c r="R64" s="172"/>
      <c r="S64" s="173"/>
      <c r="T64" s="173"/>
      <c r="U64" s="174"/>
      <c r="V64" s="178"/>
      <c r="W64" s="179"/>
      <c r="X64" s="179"/>
      <c r="Y64" s="179"/>
      <c r="Z64" s="179"/>
      <c r="AA64" s="179"/>
      <c r="AB64" s="180"/>
      <c r="AG64" t="str">
        <f t="shared" si="0"/>
        <v>Höhe Innenraum</v>
      </c>
      <c r="AH64" t="s">
        <v>381</v>
      </c>
      <c r="AI64" t="s">
        <v>382</v>
      </c>
      <c r="AJ64" t="s">
        <v>383</v>
      </c>
      <c r="AK64" t="s">
        <v>384</v>
      </c>
      <c r="AL64" t="s">
        <v>385</v>
      </c>
      <c r="AM64" s="113" t="s">
        <v>386</v>
      </c>
      <c r="AN64" t="s">
        <v>387</v>
      </c>
      <c r="AO64" t="s">
        <v>388</v>
      </c>
      <c r="AP64" t="s">
        <v>389</v>
      </c>
    </row>
    <row r="65" spans="1:44" ht="15.75" customHeight="1" thickBot="1" x14ac:dyDescent="0.3">
      <c r="A65" s="6"/>
      <c r="B65" s="87" t="s">
        <v>390</v>
      </c>
      <c r="C65" s="88" t="str">
        <f>VLOOKUP(AG68,AG8:AR101,$AE$1+1,FALSE)</f>
        <v>Freiraum RECHTS</v>
      </c>
      <c r="D65" s="89"/>
      <c r="E65" s="89"/>
      <c r="F65" s="90"/>
      <c r="G65" s="118" t="str">
        <f>AG69</f>
        <v>Einbautiefe</v>
      </c>
      <c r="H65" s="85"/>
      <c r="I65" s="85"/>
      <c r="J65" s="85"/>
      <c r="K65" s="85"/>
      <c r="L65" s="86"/>
      <c r="M65" s="119" t="s">
        <v>391</v>
      </c>
      <c r="N65" s="120"/>
      <c r="O65" s="121"/>
      <c r="P65" s="122" t="s">
        <v>392</v>
      </c>
      <c r="Q65" s="7"/>
      <c r="R65" s="37"/>
      <c r="S65" s="7"/>
      <c r="T65" s="7"/>
      <c r="U65" s="7"/>
      <c r="V65" s="178"/>
      <c r="W65" s="179"/>
      <c r="X65" s="179"/>
      <c r="Y65" s="179"/>
      <c r="Z65" s="179"/>
      <c r="AA65" s="179"/>
      <c r="AB65" s="180"/>
      <c r="AG65" t="str">
        <f t="shared" si="0"/>
        <v>Freiraum über Sturz</v>
      </c>
      <c r="AH65" t="s">
        <v>393</v>
      </c>
      <c r="AI65" t="s">
        <v>394</v>
      </c>
      <c r="AJ65" t="s">
        <v>395</v>
      </c>
      <c r="AK65" t="s">
        <v>396</v>
      </c>
      <c r="AL65" t="s">
        <v>397</v>
      </c>
      <c r="AM65" s="113" t="s">
        <v>398</v>
      </c>
      <c r="AN65" t="s">
        <v>399</v>
      </c>
      <c r="AO65" t="s">
        <v>400</v>
      </c>
      <c r="AP65" t="s">
        <v>401</v>
      </c>
    </row>
    <row r="66" spans="1:44" ht="15.75" customHeight="1" thickBot="1" x14ac:dyDescent="0.3">
      <c r="A66" s="6"/>
      <c r="B66" s="32" t="s">
        <v>402</v>
      </c>
      <c r="C66" s="88" t="str">
        <f>VLOOKUP(AG69,AG9:AR102,$AE$1+1,FALSE)</f>
        <v>Einbautiefe</v>
      </c>
      <c r="D66" s="89"/>
      <c r="E66" s="89"/>
      <c r="F66" s="90"/>
      <c r="G66" s="123" t="s">
        <v>403</v>
      </c>
      <c r="I66" s="81"/>
      <c r="J66" s="81"/>
      <c r="K66" s="124"/>
      <c r="L66" s="125">
        <f>IF(AND(K5&lt;=3300,K9=AG121),450,IF(AND(K5&lt;=3300,K9=AG122),490,IF(AND(K5&gt;3300,K5&lt;=5500,K9=AG121),500,IF(AND(K5&gt;3300,K5&lt;=5500,K9=AG122),540,IF(AND(K9=AG121,K5&gt;=5500),550,550)))))</f>
        <v>550</v>
      </c>
      <c r="M66" s="97"/>
      <c r="N66" s="85"/>
      <c r="O66" s="85"/>
      <c r="P66" s="126"/>
      <c r="Q66" s="7"/>
      <c r="R66" s="37"/>
      <c r="S66" s="7"/>
      <c r="T66" s="7"/>
      <c r="U66" s="7"/>
      <c r="V66" s="178"/>
      <c r="W66" s="179"/>
      <c r="X66" s="179"/>
      <c r="Y66" s="179"/>
      <c r="Z66" s="179"/>
      <c r="AA66" s="179"/>
      <c r="AB66" s="180"/>
      <c r="AG66" t="str">
        <f t="shared" si="0"/>
        <v>Höhe über Montagefläche Loch</v>
      </c>
      <c r="AH66" t="s">
        <v>404</v>
      </c>
      <c r="AI66" t="s">
        <v>405</v>
      </c>
      <c r="AJ66" t="s">
        <v>406</v>
      </c>
      <c r="AK66" t="s">
        <v>407</v>
      </c>
      <c r="AL66" t="s">
        <v>408</v>
      </c>
      <c r="AM66" s="113" t="s">
        <v>409</v>
      </c>
      <c r="AN66" t="s">
        <v>410</v>
      </c>
      <c r="AO66" t="s">
        <v>411</v>
      </c>
      <c r="AP66" t="s">
        <v>412</v>
      </c>
    </row>
    <row r="67" spans="1:44" ht="15.75" customHeight="1" thickBot="1" x14ac:dyDescent="0.3">
      <c r="A67" s="6"/>
      <c r="B67" s="31"/>
      <c r="C67" s="81"/>
      <c r="D67" s="89"/>
      <c r="E67" s="89"/>
      <c r="F67" s="90"/>
      <c r="G67" s="127"/>
      <c r="H67" s="128" t="s">
        <v>413</v>
      </c>
      <c r="I67" s="129" t="s">
        <v>414</v>
      </c>
      <c r="J67" s="16"/>
      <c r="K67" s="16"/>
      <c r="L67" s="16"/>
      <c r="M67" s="130"/>
      <c r="N67" s="81"/>
      <c r="O67" s="81"/>
      <c r="P67" s="90"/>
      <c r="Q67" s="7"/>
      <c r="R67" s="37"/>
      <c r="S67" s="7"/>
      <c r="T67" s="7"/>
      <c r="U67" s="7"/>
      <c r="V67" s="181"/>
      <c r="W67" s="182"/>
      <c r="X67" s="182"/>
      <c r="Y67" s="182"/>
      <c r="Z67" s="182"/>
      <c r="AA67" s="182"/>
      <c r="AB67" s="183"/>
      <c r="AG67" t="str">
        <f t="shared" ref="AG67:AG117" si="1">VLOOKUP(AH67,AH67:AR161,$AE$1,FALSE)</f>
        <v>Freiraum LINKS</v>
      </c>
      <c r="AH67" t="s">
        <v>415</v>
      </c>
      <c r="AI67" t="s">
        <v>416</v>
      </c>
      <c r="AJ67" t="s">
        <v>417</v>
      </c>
      <c r="AK67" t="s">
        <v>418</v>
      </c>
      <c r="AL67" t="s">
        <v>419</v>
      </c>
      <c r="AM67" s="113" t="s">
        <v>420</v>
      </c>
      <c r="AN67" t="s">
        <v>421</v>
      </c>
      <c r="AO67" t="s">
        <v>422</v>
      </c>
      <c r="AP67" t="s">
        <v>423</v>
      </c>
    </row>
    <row r="68" spans="1:44" ht="15.75" thickBot="1" x14ac:dyDescent="0.3">
      <c r="A68" s="6"/>
      <c r="B68" s="131"/>
      <c r="E68" s="89"/>
      <c r="F68" s="90"/>
      <c r="G68" s="132"/>
      <c r="H68" s="133" t="s">
        <v>379</v>
      </c>
      <c r="I68" s="129" t="s">
        <v>424</v>
      </c>
      <c r="J68" s="89"/>
      <c r="K68" s="96"/>
      <c r="L68" s="90"/>
      <c r="M68" s="130"/>
      <c r="N68" s="89"/>
      <c r="O68" s="89"/>
      <c r="P68" s="90"/>
      <c r="Q68" s="7"/>
      <c r="R68" s="37"/>
      <c r="S68" s="7"/>
      <c r="T68" s="7"/>
      <c r="U68" s="7"/>
      <c r="V68" s="158" t="str">
        <f>AG12</f>
        <v>VERTIKALER BESCHLAG (VL)</v>
      </c>
      <c r="W68" s="159"/>
      <c r="X68" s="159"/>
      <c r="Y68" s="160"/>
      <c r="Z68" s="101" t="str">
        <f>VLOOKUP(AG95,AG2:AR96,$AE$1+1,FALSE)</f>
        <v>Kode:</v>
      </c>
      <c r="AA68" s="164" t="str">
        <f>VLOOKUP(AG96,AG2:AR96,$AE$1+1,FALSE)</f>
        <v>Version:</v>
      </c>
      <c r="AB68" s="165"/>
      <c r="AG68" t="str">
        <f t="shared" si="1"/>
        <v>Freiraum RECHTS</v>
      </c>
      <c r="AH68" t="s">
        <v>425</v>
      </c>
      <c r="AI68" t="s">
        <v>426</v>
      </c>
      <c r="AJ68" t="s">
        <v>427</v>
      </c>
      <c r="AK68" t="s">
        <v>428</v>
      </c>
      <c r="AL68" t="s">
        <v>429</v>
      </c>
      <c r="AM68" s="113" t="s">
        <v>430</v>
      </c>
      <c r="AN68" t="s">
        <v>431</v>
      </c>
      <c r="AO68" t="s">
        <v>432</v>
      </c>
      <c r="AP68" t="s">
        <v>433</v>
      </c>
    </row>
    <row r="69" spans="1:44" ht="15.75" thickBot="1" x14ac:dyDescent="0.3">
      <c r="B69" s="131"/>
      <c r="C69" s="81"/>
      <c r="D69" s="81"/>
      <c r="E69" s="89"/>
      <c r="F69" s="90"/>
      <c r="G69" s="32"/>
      <c r="H69" s="134" t="s">
        <v>391</v>
      </c>
      <c r="I69" s="135" t="s">
        <v>434</v>
      </c>
      <c r="J69" s="89"/>
      <c r="K69" s="96"/>
      <c r="L69" s="90"/>
      <c r="M69" s="130"/>
      <c r="N69" s="88"/>
      <c r="O69" s="88"/>
      <c r="P69" s="136"/>
      <c r="Q69" s="1"/>
      <c r="R69" s="137"/>
      <c r="S69" s="1"/>
      <c r="T69" s="1"/>
      <c r="U69" s="1"/>
      <c r="V69" s="161"/>
      <c r="W69" s="162"/>
      <c r="X69" s="162"/>
      <c r="Y69" s="163"/>
      <c r="Z69" s="138" t="s">
        <v>435</v>
      </c>
      <c r="AA69" s="166">
        <v>1939</v>
      </c>
      <c r="AB69" s="167"/>
      <c r="AG69" t="str">
        <f t="shared" si="1"/>
        <v>Einbautiefe</v>
      </c>
      <c r="AH69" t="s">
        <v>436</v>
      </c>
      <c r="AI69" t="s">
        <v>437</v>
      </c>
      <c r="AJ69" t="s">
        <v>438</v>
      </c>
      <c r="AK69" t="s">
        <v>439</v>
      </c>
      <c r="AL69" t="s">
        <v>440</v>
      </c>
      <c r="AM69" s="113" t="s">
        <v>441</v>
      </c>
      <c r="AN69" t="s">
        <v>442</v>
      </c>
      <c r="AO69" t="s">
        <v>443</v>
      </c>
      <c r="AP69" t="s">
        <v>444</v>
      </c>
    </row>
    <row r="70" spans="1:44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2"/>
      <c r="W70" s="22"/>
      <c r="X70" s="22"/>
      <c r="Y70" s="22"/>
      <c r="Z70" s="7"/>
      <c r="AA70" s="7"/>
      <c r="AB70" s="7"/>
      <c r="AG70" t="str">
        <f t="shared" si="1"/>
        <v>1. Aufhängepunkt</v>
      </c>
      <c r="AH70" t="s">
        <v>445</v>
      </c>
      <c r="AI70" t="s">
        <v>446</v>
      </c>
      <c r="AJ70" t="s">
        <v>447</v>
      </c>
      <c r="AK70" t="s">
        <v>448</v>
      </c>
      <c r="AL70" t="s">
        <v>449</v>
      </c>
      <c r="AM70" s="113" t="s">
        <v>450</v>
      </c>
      <c r="AN70" t="s">
        <v>451</v>
      </c>
      <c r="AO70" t="s">
        <v>452</v>
      </c>
      <c r="AP70" t="s">
        <v>453</v>
      </c>
    </row>
    <row r="71" spans="1:44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2"/>
      <c r="W71" s="22"/>
      <c r="X71" s="22"/>
      <c r="Y71" s="22"/>
      <c r="Z71" s="7"/>
      <c r="AA71" s="7"/>
      <c r="AB71" s="7"/>
      <c r="AG71" t="str">
        <f t="shared" si="1"/>
        <v>2. Aufhängepunkt</v>
      </c>
      <c r="AH71" t="s">
        <v>454</v>
      </c>
      <c r="AI71" t="s">
        <v>455</v>
      </c>
      <c r="AJ71" t="s">
        <v>456</v>
      </c>
      <c r="AK71" t="s">
        <v>457</v>
      </c>
      <c r="AL71" t="s">
        <v>458</v>
      </c>
      <c r="AM71" s="113" t="s">
        <v>459</v>
      </c>
      <c r="AN71" t="s">
        <v>460</v>
      </c>
      <c r="AO71" t="s">
        <v>461</v>
      </c>
      <c r="AP71" t="s">
        <v>462</v>
      </c>
    </row>
    <row r="72" spans="1:44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2"/>
      <c r="W72" s="22"/>
      <c r="X72" s="22"/>
      <c r="Y72" s="22"/>
      <c r="Z72" s="7"/>
      <c r="AA72" s="7"/>
      <c r="AB72" s="7"/>
      <c r="AG72" t="str">
        <f t="shared" si="1"/>
        <v>3. Aufhängepunkt</v>
      </c>
      <c r="AH72" t="s">
        <v>463</v>
      </c>
      <c r="AI72" t="s">
        <v>464</v>
      </c>
      <c r="AJ72" t="s">
        <v>465</v>
      </c>
      <c r="AK72" t="s">
        <v>466</v>
      </c>
      <c r="AL72" t="s">
        <v>467</v>
      </c>
      <c r="AM72" s="113" t="s">
        <v>468</v>
      </c>
      <c r="AN72" t="s">
        <v>469</v>
      </c>
      <c r="AO72" t="s">
        <v>470</v>
      </c>
      <c r="AP72" t="s">
        <v>471</v>
      </c>
    </row>
    <row r="73" spans="1:44" x14ac:dyDescent="0.25">
      <c r="F73" s="7"/>
      <c r="G73" s="24"/>
      <c r="H73" s="24"/>
      <c r="I73" s="24"/>
      <c r="J73" s="24"/>
      <c r="K73" s="24"/>
      <c r="L73" s="24"/>
      <c r="M73" s="7"/>
      <c r="N73" s="7"/>
      <c r="AG73" t="str">
        <f t="shared" si="1"/>
        <v>Freiplatz auf der Mountageplatz</v>
      </c>
      <c r="AH73" s="12" t="s">
        <v>393</v>
      </c>
      <c r="AI73" t="s">
        <v>472</v>
      </c>
      <c r="AJ73" s="12" t="s">
        <v>473</v>
      </c>
      <c r="AK73" s="12" t="s">
        <v>474</v>
      </c>
      <c r="AL73" s="12" t="s">
        <v>475</v>
      </c>
      <c r="AM73" s="113" t="s">
        <v>476</v>
      </c>
      <c r="AN73" s="12" t="s">
        <v>477</v>
      </c>
      <c r="AO73" s="12" t="s">
        <v>478</v>
      </c>
      <c r="AP73" s="12" t="s">
        <v>479</v>
      </c>
      <c r="AQ73" s="12"/>
      <c r="AR73" s="12"/>
    </row>
    <row r="74" spans="1:44" x14ac:dyDescent="0.25">
      <c r="F74" s="7"/>
      <c r="G74" s="29"/>
      <c r="H74" s="24"/>
      <c r="I74" s="24"/>
      <c r="J74" s="24"/>
      <c r="K74" s="24"/>
      <c r="L74" s="24"/>
      <c r="M74" s="7"/>
      <c r="N74" s="7"/>
      <c r="AG74" t="str">
        <f t="shared" si="1"/>
        <v>Handbedienung</v>
      </c>
      <c r="AH74" t="s">
        <v>480</v>
      </c>
      <c r="AI74" t="s">
        <v>481</v>
      </c>
      <c r="AJ74" t="s">
        <v>482</v>
      </c>
      <c r="AK74" t="s">
        <v>483</v>
      </c>
      <c r="AL74" t="s">
        <v>484</v>
      </c>
      <c r="AM74" s="113" t="s">
        <v>485</v>
      </c>
      <c r="AN74" t="s">
        <v>486</v>
      </c>
      <c r="AO74" t="s">
        <v>487</v>
      </c>
      <c r="AP74" t="s">
        <v>488</v>
      </c>
    </row>
    <row r="75" spans="1:44" x14ac:dyDescent="0.25">
      <c r="F75" s="7"/>
      <c r="G75" s="7"/>
      <c r="H75" s="7"/>
      <c r="I75" s="7"/>
      <c r="J75" s="7"/>
      <c r="K75" s="7"/>
      <c r="L75" s="7"/>
      <c r="M75" s="7"/>
      <c r="N75" s="7"/>
      <c r="AG75" t="str">
        <f t="shared" si="1"/>
        <v>Beide Seiten</v>
      </c>
      <c r="AH75" t="s">
        <v>489</v>
      </c>
      <c r="AI75" t="s">
        <v>490</v>
      </c>
      <c r="AJ75" t="s">
        <v>491</v>
      </c>
      <c r="AK75" t="s">
        <v>492</v>
      </c>
      <c r="AL75" t="s">
        <v>493</v>
      </c>
      <c r="AM75" s="113" t="s">
        <v>494</v>
      </c>
      <c r="AN75" t="s">
        <v>495</v>
      </c>
      <c r="AO75" t="s">
        <v>496</v>
      </c>
      <c r="AP75" t="s">
        <v>497</v>
      </c>
    </row>
    <row r="76" spans="1:44" x14ac:dyDescent="0.25">
      <c r="L76" s="7"/>
      <c r="M76" s="7"/>
      <c r="N76" s="7"/>
      <c r="O76" s="7"/>
      <c r="P76" s="7"/>
      <c r="Q76" s="7"/>
      <c r="R76" s="7"/>
      <c r="S76" s="7"/>
      <c r="T76" s="7"/>
      <c r="AG76" t="str">
        <f t="shared" si="1"/>
        <v>Elektrisch- oder Haspelkettenbedient</v>
      </c>
      <c r="AH76" t="s">
        <v>498</v>
      </c>
      <c r="AI76" t="s">
        <v>499</v>
      </c>
      <c r="AJ76" t="s">
        <v>500</v>
      </c>
      <c r="AK76" t="s">
        <v>501</v>
      </c>
      <c r="AL76" t="s">
        <v>502</v>
      </c>
      <c r="AM76" s="113" t="s">
        <v>503</v>
      </c>
      <c r="AN76" t="s">
        <v>504</v>
      </c>
      <c r="AO76" t="s">
        <v>505</v>
      </c>
      <c r="AP76" t="s">
        <v>506</v>
      </c>
    </row>
    <row r="77" spans="1:44" x14ac:dyDescent="0.25">
      <c r="L77" s="7"/>
      <c r="M77" s="7"/>
      <c r="N77" s="7"/>
      <c r="O77" s="7"/>
      <c r="P77" s="7"/>
      <c r="Q77" s="7"/>
      <c r="R77" s="7"/>
      <c r="S77" s="7"/>
      <c r="T77" s="7"/>
      <c r="AG77" t="str">
        <f t="shared" si="1"/>
        <v>Motor-oder Kettenseite</v>
      </c>
      <c r="AH77" t="s">
        <v>507</v>
      </c>
      <c r="AI77" t="s">
        <v>508</v>
      </c>
      <c r="AJ77" t="s">
        <v>509</v>
      </c>
      <c r="AK77" t="s">
        <v>510</v>
      </c>
      <c r="AL77" t="s">
        <v>511</v>
      </c>
      <c r="AM77" s="113" t="s">
        <v>512</v>
      </c>
      <c r="AN77" t="s">
        <v>513</v>
      </c>
      <c r="AO77" t="s">
        <v>514</v>
      </c>
      <c r="AP77" t="s">
        <v>515</v>
      </c>
    </row>
    <row r="78" spans="1:44" x14ac:dyDescent="0.25">
      <c r="L78" s="7"/>
      <c r="M78" s="7"/>
      <c r="N78" s="7"/>
      <c r="O78" s="7"/>
      <c r="P78" s="7"/>
      <c r="Q78" s="7"/>
      <c r="R78" s="7"/>
      <c r="S78" s="7"/>
      <c r="T78" s="7"/>
      <c r="AG78" t="str">
        <f t="shared" si="1"/>
        <v>Einbautiefe</v>
      </c>
      <c r="AH78" t="s">
        <v>436</v>
      </c>
      <c r="AI78" t="s">
        <v>437</v>
      </c>
      <c r="AJ78" t="s">
        <v>438</v>
      </c>
      <c r="AK78" t="s">
        <v>516</v>
      </c>
      <c r="AL78" t="s">
        <v>440</v>
      </c>
      <c r="AM78" s="113" t="s">
        <v>441</v>
      </c>
      <c r="AN78" t="s">
        <v>442</v>
      </c>
      <c r="AO78" t="s">
        <v>517</v>
      </c>
      <c r="AP78" t="s">
        <v>444</v>
      </c>
    </row>
    <row r="79" spans="1:44" x14ac:dyDescent="0.25">
      <c r="L79" s="7"/>
      <c r="M79" s="7"/>
      <c r="N79" s="7"/>
      <c r="O79" s="7"/>
      <c r="P79" s="7"/>
      <c r="Q79" s="7"/>
      <c r="R79" s="7"/>
      <c r="S79" s="7"/>
      <c r="T79" s="7"/>
      <c r="AG79" t="str">
        <f t="shared" si="1"/>
        <v>Aufhängepunkte, wenn</v>
      </c>
      <c r="AH79" t="s">
        <v>518</v>
      </c>
      <c r="AI79" t="s">
        <v>519</v>
      </c>
      <c r="AJ79" t="s">
        <v>520</v>
      </c>
      <c r="AK79" t="s">
        <v>521</v>
      </c>
      <c r="AL79" t="s">
        <v>522</v>
      </c>
      <c r="AM79" s="16" t="s">
        <v>523</v>
      </c>
      <c r="AN79" t="s">
        <v>524</v>
      </c>
      <c r="AO79" t="s">
        <v>525</v>
      </c>
      <c r="AP79" t="s">
        <v>526</v>
      </c>
    </row>
    <row r="80" spans="1:44" x14ac:dyDescent="0.25">
      <c r="L80" s="7"/>
      <c r="M80" s="7"/>
      <c r="N80" s="7"/>
      <c r="O80" s="7"/>
      <c r="P80" s="7"/>
      <c r="Q80" s="7"/>
      <c r="R80" s="7"/>
      <c r="S80" s="7"/>
      <c r="T80" s="7"/>
      <c r="AG80" t="str">
        <f t="shared" si="1"/>
        <v>Aufhängepunkte</v>
      </c>
      <c r="AH80" t="s">
        <v>527</v>
      </c>
      <c r="AI80" t="s">
        <v>528</v>
      </c>
      <c r="AJ80" t="s">
        <v>529</v>
      </c>
      <c r="AK80" t="s">
        <v>530</v>
      </c>
      <c r="AL80" t="s">
        <v>531</v>
      </c>
      <c r="AM80" s="16" t="s">
        <v>532</v>
      </c>
      <c r="AN80" t="s">
        <v>533</v>
      </c>
      <c r="AO80" t="s">
        <v>534</v>
      </c>
      <c r="AP80" t="s">
        <v>535</v>
      </c>
    </row>
    <row r="81" spans="12:44" x14ac:dyDescent="0.25">
      <c r="L81" s="7"/>
      <c r="M81" s="7"/>
      <c r="N81" s="7"/>
      <c r="O81" s="7"/>
      <c r="P81" s="7"/>
      <c r="Q81" s="7"/>
      <c r="R81" s="7"/>
      <c r="S81" s="7"/>
      <c r="T81" s="7"/>
      <c r="AG81" t="str">
        <f t="shared" si="1"/>
        <v>Freiraum über Sturz</v>
      </c>
      <c r="AH81" t="s">
        <v>393</v>
      </c>
      <c r="AI81" t="s">
        <v>394</v>
      </c>
      <c r="AJ81" t="s">
        <v>395</v>
      </c>
      <c r="AK81" t="s">
        <v>536</v>
      </c>
      <c r="AL81" t="s">
        <v>397</v>
      </c>
      <c r="AM81" s="95" t="s">
        <v>398</v>
      </c>
      <c r="AN81" t="s">
        <v>537</v>
      </c>
      <c r="AO81" t="s">
        <v>538</v>
      </c>
      <c r="AP81" t="s">
        <v>401</v>
      </c>
    </row>
    <row r="82" spans="12:44" x14ac:dyDescent="0.25">
      <c r="L82" s="7"/>
      <c r="M82" s="7"/>
      <c r="N82" s="7"/>
      <c r="O82" s="7"/>
      <c r="P82" s="139"/>
      <c r="Q82" s="139"/>
      <c r="R82" s="7"/>
      <c r="S82" s="7"/>
      <c r="T82" s="7"/>
      <c r="AG82" t="str">
        <f t="shared" si="1"/>
        <v>Mitte Achse zum Sturz</v>
      </c>
      <c r="AH82" t="s">
        <v>539</v>
      </c>
      <c r="AI82" t="s">
        <v>540</v>
      </c>
      <c r="AJ82" t="s">
        <v>541</v>
      </c>
      <c r="AK82" t="s">
        <v>542</v>
      </c>
      <c r="AL82" t="s">
        <v>543</v>
      </c>
      <c r="AM82" s="95" t="s">
        <v>544</v>
      </c>
      <c r="AN82" t="s">
        <v>545</v>
      </c>
      <c r="AO82" t="s">
        <v>546</v>
      </c>
      <c r="AP82" t="s">
        <v>547</v>
      </c>
    </row>
    <row r="83" spans="12:44" x14ac:dyDescent="0.25">
      <c r="L83" s="7"/>
      <c r="M83" s="7"/>
      <c r="N83" s="7"/>
      <c r="O83" s="7"/>
      <c r="P83" s="7"/>
      <c r="Q83" s="7"/>
      <c r="R83" s="7"/>
      <c r="S83" s="7"/>
      <c r="T83" s="7"/>
    </row>
    <row r="85" spans="12:44" x14ac:dyDescent="0.25">
      <c r="AG85" t="str">
        <f t="shared" si="1"/>
        <v>Aufgestellt:</v>
      </c>
      <c r="AH85" t="s">
        <v>548</v>
      </c>
      <c r="AI85" t="s">
        <v>549</v>
      </c>
      <c r="AJ85" t="s">
        <v>550</v>
      </c>
      <c r="AK85" t="s">
        <v>551</v>
      </c>
      <c r="AL85" t="s">
        <v>552</v>
      </c>
      <c r="AM85" s="95" t="s">
        <v>553</v>
      </c>
      <c r="AN85" t="s">
        <v>554</v>
      </c>
      <c r="AO85" t="s">
        <v>555</v>
      </c>
      <c r="AP85" t="s">
        <v>556</v>
      </c>
    </row>
    <row r="86" spans="12:44" x14ac:dyDescent="0.25">
      <c r="AG86" t="str">
        <f t="shared" si="1"/>
        <v>Bereinigt:</v>
      </c>
      <c r="AH86" t="s">
        <v>557</v>
      </c>
      <c r="AI86" t="s">
        <v>558</v>
      </c>
      <c r="AJ86" t="s">
        <v>559</v>
      </c>
      <c r="AK86" t="s">
        <v>560</v>
      </c>
      <c r="AL86" t="s">
        <v>561</v>
      </c>
      <c r="AM86" s="95" t="s">
        <v>562</v>
      </c>
      <c r="AN86" t="s">
        <v>563</v>
      </c>
      <c r="AO86" t="s">
        <v>564</v>
      </c>
      <c r="AP86" t="s">
        <v>565</v>
      </c>
    </row>
    <row r="87" spans="12:44" x14ac:dyDescent="0.25">
      <c r="AG87" t="str">
        <f t="shared" si="1"/>
        <v>Bereinigt am:</v>
      </c>
      <c r="AH87" t="s">
        <v>566</v>
      </c>
      <c r="AI87" t="s">
        <v>567</v>
      </c>
      <c r="AJ87" t="s">
        <v>568</v>
      </c>
      <c r="AK87" t="s">
        <v>569</v>
      </c>
      <c r="AL87" t="s">
        <v>570</v>
      </c>
      <c r="AM87" s="140" t="s">
        <v>571</v>
      </c>
      <c r="AN87" t="s">
        <v>572</v>
      </c>
      <c r="AO87" t="s">
        <v>573</v>
      </c>
      <c r="AP87" t="s">
        <v>574</v>
      </c>
    </row>
    <row r="88" spans="12:44" x14ac:dyDescent="0.25">
      <c r="AG88" t="str">
        <f t="shared" si="1"/>
        <v>Dateiname:</v>
      </c>
      <c r="AH88" t="s">
        <v>575</v>
      </c>
      <c r="AI88" t="s">
        <v>576</v>
      </c>
      <c r="AJ88" t="s">
        <v>577</v>
      </c>
      <c r="AK88" t="s">
        <v>578</v>
      </c>
      <c r="AL88" t="s">
        <v>579</v>
      </c>
      <c r="AM88" s="95" t="s">
        <v>580</v>
      </c>
      <c r="AN88" t="s">
        <v>581</v>
      </c>
      <c r="AO88" t="s">
        <v>582</v>
      </c>
      <c r="AP88" t="s">
        <v>583</v>
      </c>
    </row>
    <row r="89" spans="12:44" x14ac:dyDescent="0.25">
      <c r="AG89" t="str">
        <f t="shared" si="1"/>
        <v>Datum:</v>
      </c>
      <c r="AH89" t="s">
        <v>584</v>
      </c>
      <c r="AI89" t="s">
        <v>585</v>
      </c>
      <c r="AJ89" t="s">
        <v>584</v>
      </c>
      <c r="AK89" t="s">
        <v>586</v>
      </c>
      <c r="AL89" t="s">
        <v>587</v>
      </c>
      <c r="AM89" s="95" t="s">
        <v>584</v>
      </c>
      <c r="AN89" t="s">
        <v>588</v>
      </c>
      <c r="AO89" t="s">
        <v>589</v>
      </c>
      <c r="AP89" t="s">
        <v>590</v>
      </c>
    </row>
    <row r="90" spans="12:44" x14ac:dyDescent="0.25">
      <c r="AG90" t="str">
        <f t="shared" si="1"/>
        <v>Massst.:</v>
      </c>
      <c r="AH90" t="s">
        <v>591</v>
      </c>
      <c r="AI90" t="s">
        <v>592</v>
      </c>
      <c r="AJ90" t="s">
        <v>593</v>
      </c>
      <c r="AK90" t="s">
        <v>594</v>
      </c>
      <c r="AL90" t="s">
        <v>595</v>
      </c>
      <c r="AM90" s="95" t="s">
        <v>596</v>
      </c>
      <c r="AN90" t="s">
        <v>597</v>
      </c>
      <c r="AO90" t="s">
        <v>598</v>
      </c>
      <c r="AP90" t="s">
        <v>599</v>
      </c>
    </row>
    <row r="91" spans="12:44" x14ac:dyDescent="0.25">
      <c r="AG91" t="str">
        <f t="shared" si="1"/>
        <v>Format:</v>
      </c>
      <c r="AH91" t="s">
        <v>600</v>
      </c>
      <c r="AI91" t="s">
        <v>601</v>
      </c>
      <c r="AJ91" t="s">
        <v>602</v>
      </c>
      <c r="AK91" t="s">
        <v>602</v>
      </c>
      <c r="AL91" t="s">
        <v>603</v>
      </c>
      <c r="AM91" s="95" t="s">
        <v>601</v>
      </c>
      <c r="AN91" t="s">
        <v>604</v>
      </c>
      <c r="AO91" t="s">
        <v>605</v>
      </c>
      <c r="AP91" t="s">
        <v>606</v>
      </c>
    </row>
    <row r="92" spans="12:44" x14ac:dyDescent="0.25">
      <c r="AG92" t="str">
        <f t="shared" si="1"/>
        <v>BAUBEREITSCHAFT</v>
      </c>
      <c r="AH92" t="s">
        <v>607</v>
      </c>
      <c r="AI92" t="s">
        <v>608</v>
      </c>
      <c r="AJ92" t="s">
        <v>609</v>
      </c>
      <c r="AK92" t="s">
        <v>610</v>
      </c>
      <c r="AL92" t="s">
        <v>611</v>
      </c>
      <c r="AM92" s="141" t="s">
        <v>612</v>
      </c>
      <c r="AN92" t="s">
        <v>613</v>
      </c>
      <c r="AO92" t="s">
        <v>614</v>
      </c>
      <c r="AP92" t="s">
        <v>615</v>
      </c>
    </row>
    <row r="93" spans="12:44" x14ac:dyDescent="0.25">
      <c r="AG93" t="str">
        <f t="shared" si="1"/>
        <v xml:space="preserve"> Federn oberhalb des Sturzes </v>
      </c>
      <c r="AH93" t="s">
        <v>616</v>
      </c>
      <c r="AI93" t="s">
        <v>617</v>
      </c>
      <c r="AJ93" t="s">
        <v>618</v>
      </c>
      <c r="AK93" t="s">
        <v>619</v>
      </c>
      <c r="AL93" t="s">
        <v>95</v>
      </c>
      <c r="AM93" s="95" t="s">
        <v>620</v>
      </c>
      <c r="AN93" t="s">
        <v>621</v>
      </c>
      <c r="AO93" t="s">
        <v>98</v>
      </c>
      <c r="AP93" t="s">
        <v>99</v>
      </c>
    </row>
    <row r="94" spans="12:44" x14ac:dyDescent="0.25">
      <c r="AG94" t="str">
        <f t="shared" si="1"/>
        <v>BAUBEREITSCHAFT VERTIKALER BESCHLAG (VL)</v>
      </c>
      <c r="AH94" s="16" t="s">
        <v>622</v>
      </c>
      <c r="AI94" s="16" t="s">
        <v>623</v>
      </c>
      <c r="AJ94" s="16" t="s">
        <v>624</v>
      </c>
      <c r="AK94" s="16" t="s">
        <v>625</v>
      </c>
      <c r="AL94" s="142" t="s">
        <v>626</v>
      </c>
      <c r="AM94" s="141" t="s">
        <v>612</v>
      </c>
      <c r="AN94" s="16" t="s">
        <v>627</v>
      </c>
      <c r="AO94" s="16" t="s">
        <v>628</v>
      </c>
      <c r="AP94" s="16" t="s">
        <v>629</v>
      </c>
      <c r="AQ94" s="16"/>
      <c r="AR94" s="16"/>
    </row>
    <row r="95" spans="12:44" x14ac:dyDescent="0.25">
      <c r="AG95" t="str">
        <f t="shared" si="1"/>
        <v>Kode:</v>
      </c>
      <c r="AH95" t="s">
        <v>630</v>
      </c>
      <c r="AI95" t="s">
        <v>631</v>
      </c>
      <c r="AJ95" t="s">
        <v>632</v>
      </c>
      <c r="AK95" t="s">
        <v>633</v>
      </c>
      <c r="AL95" t="s">
        <v>634</v>
      </c>
      <c r="AM95" s="95" t="s">
        <v>635</v>
      </c>
      <c r="AN95" t="s">
        <v>636</v>
      </c>
      <c r="AO95" t="s">
        <v>637</v>
      </c>
      <c r="AP95" t="s">
        <v>638</v>
      </c>
    </row>
    <row r="96" spans="12:44" x14ac:dyDescent="0.25">
      <c r="AG96" t="str">
        <f t="shared" si="1"/>
        <v>Version:</v>
      </c>
      <c r="AH96" t="s">
        <v>639</v>
      </c>
      <c r="AI96" t="s">
        <v>640</v>
      </c>
      <c r="AJ96" t="s">
        <v>640</v>
      </c>
      <c r="AK96" t="s">
        <v>641</v>
      </c>
      <c r="AL96" t="s">
        <v>642</v>
      </c>
      <c r="AM96" s="95" t="s">
        <v>643</v>
      </c>
      <c r="AN96" t="s">
        <v>644</v>
      </c>
      <c r="AO96" t="s">
        <v>645</v>
      </c>
      <c r="AP96" t="s">
        <v>646</v>
      </c>
    </row>
    <row r="97" spans="33:42" x14ac:dyDescent="0.25">
      <c r="AG97" t="str">
        <f t="shared" si="1"/>
        <v>NICHT ERFORDELICH</v>
      </c>
      <c r="AH97" t="s">
        <v>647</v>
      </c>
      <c r="AI97" t="s">
        <v>648</v>
      </c>
      <c r="AJ97" s="12" t="s">
        <v>649</v>
      </c>
      <c r="AK97" s="12" t="s">
        <v>650</v>
      </c>
      <c r="AL97" s="12" t="s">
        <v>651</v>
      </c>
      <c r="AM97" s="95" t="s">
        <v>652</v>
      </c>
      <c r="AN97" t="s">
        <v>653</v>
      </c>
      <c r="AO97" t="s">
        <v>654</v>
      </c>
      <c r="AP97" t="s">
        <v>655</v>
      </c>
    </row>
    <row r="99" spans="33:42" x14ac:dyDescent="0.25">
      <c r="AG99" t="str">
        <f t="shared" si="1"/>
        <v>Fülen Sie bitte markierte Felder!</v>
      </c>
      <c r="AH99" t="s">
        <v>656</v>
      </c>
      <c r="AI99" t="s">
        <v>657</v>
      </c>
      <c r="AJ99" t="s">
        <v>658</v>
      </c>
      <c r="AK99" t="s">
        <v>659</v>
      </c>
      <c r="AL99" t="s">
        <v>660</v>
      </c>
      <c r="AM99" s="95" t="s">
        <v>661</v>
      </c>
      <c r="AN99" t="s">
        <v>662</v>
      </c>
      <c r="AO99" t="s">
        <v>663</v>
      </c>
      <c r="AP99" t="s">
        <v>664</v>
      </c>
    </row>
    <row r="101" spans="33:42" x14ac:dyDescent="0.25">
      <c r="AG101" t="str">
        <f t="shared" si="1"/>
        <v>Bedienung</v>
      </c>
      <c r="AH101" t="s">
        <v>665</v>
      </c>
      <c r="AI101" t="s">
        <v>666</v>
      </c>
      <c r="AJ101" t="s">
        <v>667</v>
      </c>
      <c r="AK101" t="s">
        <v>668</v>
      </c>
      <c r="AL101" t="s">
        <v>669</v>
      </c>
      <c r="AM101" s="16" t="s">
        <v>670</v>
      </c>
      <c r="AN101" s="16" t="s">
        <v>671</v>
      </c>
      <c r="AO101" s="16" t="s">
        <v>672</v>
      </c>
      <c r="AP101" s="16" t="s">
        <v>673</v>
      </c>
    </row>
    <row r="102" spans="33:42" x14ac:dyDescent="0.25">
      <c r="AG102" t="str">
        <f t="shared" si="1"/>
        <v>hand</v>
      </c>
      <c r="AH102" t="s">
        <v>674</v>
      </c>
      <c r="AI102" t="s">
        <v>675</v>
      </c>
      <c r="AJ102" t="s">
        <v>676</v>
      </c>
      <c r="AK102" t="s">
        <v>677</v>
      </c>
      <c r="AL102" t="s">
        <v>678</v>
      </c>
      <c r="AM102" s="16" t="s">
        <v>676</v>
      </c>
      <c r="AN102" s="16" t="s">
        <v>679</v>
      </c>
      <c r="AO102" s="16" t="s">
        <v>680</v>
      </c>
      <c r="AP102" s="143" t="s">
        <v>681</v>
      </c>
    </row>
    <row r="103" spans="33:42" ht="15" customHeight="1" x14ac:dyDescent="0.25">
      <c r="AG103" t="str">
        <f t="shared" si="1"/>
        <v>elektrisch</v>
      </c>
      <c r="AH103" t="s">
        <v>682</v>
      </c>
      <c r="AI103" t="s">
        <v>683</v>
      </c>
      <c r="AJ103" t="s">
        <v>684</v>
      </c>
      <c r="AK103" t="s">
        <v>685</v>
      </c>
      <c r="AL103" t="s">
        <v>686</v>
      </c>
      <c r="AM103" s="16" t="s">
        <v>684</v>
      </c>
      <c r="AN103" s="16" t="s">
        <v>687</v>
      </c>
      <c r="AO103" s="16" t="s">
        <v>688</v>
      </c>
      <c r="AP103" s="143" t="s">
        <v>506</v>
      </c>
    </row>
    <row r="104" spans="33:42" x14ac:dyDescent="0.25">
      <c r="AG104" t="str">
        <f t="shared" si="1"/>
        <v>Haspeklette</v>
      </c>
      <c r="AH104" t="s">
        <v>689</v>
      </c>
      <c r="AI104" t="s">
        <v>690</v>
      </c>
      <c r="AJ104" t="s">
        <v>691</v>
      </c>
      <c r="AK104" t="s">
        <v>692</v>
      </c>
      <c r="AL104" t="s">
        <v>693</v>
      </c>
      <c r="AM104" s="16" t="s">
        <v>694</v>
      </c>
      <c r="AN104" s="16" t="s">
        <v>695</v>
      </c>
      <c r="AO104" s="16" t="s">
        <v>696</v>
      </c>
      <c r="AP104" s="144" t="s">
        <v>697</v>
      </c>
    </row>
    <row r="105" spans="33:42" x14ac:dyDescent="0.25">
      <c r="AM105" s="16"/>
    </row>
    <row r="106" spans="33:42" x14ac:dyDescent="0.25">
      <c r="AG106" t="str">
        <f t="shared" si="1"/>
        <v>Antriebesposition</v>
      </c>
      <c r="AH106" t="s">
        <v>698</v>
      </c>
      <c r="AI106" t="s">
        <v>699</v>
      </c>
      <c r="AJ106" t="s">
        <v>700</v>
      </c>
      <c r="AK106" t="s">
        <v>701</v>
      </c>
      <c r="AL106" t="s">
        <v>702</v>
      </c>
      <c r="AM106" s="16" t="s">
        <v>703</v>
      </c>
      <c r="AN106" t="s">
        <v>704</v>
      </c>
      <c r="AO106" t="s">
        <v>705</v>
      </c>
      <c r="AP106" t="s">
        <v>706</v>
      </c>
    </row>
    <row r="107" spans="33:42" x14ac:dyDescent="0.25">
      <c r="AG107" t="str">
        <f t="shared" si="1"/>
        <v>Auf der linken Seite</v>
      </c>
      <c r="AH107" t="s">
        <v>707</v>
      </c>
      <c r="AI107" t="s">
        <v>708</v>
      </c>
      <c r="AJ107" t="s">
        <v>709</v>
      </c>
      <c r="AK107" t="s">
        <v>710</v>
      </c>
      <c r="AL107" t="s">
        <v>711</v>
      </c>
      <c r="AM107" s="16" t="s">
        <v>712</v>
      </c>
      <c r="AN107" t="s">
        <v>713</v>
      </c>
      <c r="AO107" t="s">
        <v>714</v>
      </c>
      <c r="AP107" t="s">
        <v>715</v>
      </c>
    </row>
    <row r="108" spans="33:42" x14ac:dyDescent="0.25">
      <c r="AG108" t="str">
        <f t="shared" si="1"/>
        <v>Auf der rechten Seite</v>
      </c>
      <c r="AH108" t="s">
        <v>716</v>
      </c>
      <c r="AI108" t="s">
        <v>717</v>
      </c>
      <c r="AJ108" t="s">
        <v>718</v>
      </c>
      <c r="AK108" t="s">
        <v>719</v>
      </c>
      <c r="AL108" t="s">
        <v>720</v>
      </c>
      <c r="AM108" s="16" t="s">
        <v>721</v>
      </c>
      <c r="AN108" t="s">
        <v>722</v>
      </c>
      <c r="AO108" t="s">
        <v>723</v>
      </c>
      <c r="AP108" t="s">
        <v>724</v>
      </c>
    </row>
    <row r="110" spans="33:42" x14ac:dyDescent="0.25">
      <c r="AG110" t="str">
        <f t="shared" si="1"/>
        <v>Extra Aufhängung Federpaket</v>
      </c>
      <c r="AH110" t="s">
        <v>725</v>
      </c>
      <c r="AI110" t="s">
        <v>726</v>
      </c>
      <c r="AJ110" t="s">
        <v>727</v>
      </c>
      <c r="AK110" t="s">
        <v>728</v>
      </c>
      <c r="AL110" t="s">
        <v>729</v>
      </c>
      <c r="AM110" s="145" t="s">
        <v>730</v>
      </c>
    </row>
    <row r="111" spans="33:42" x14ac:dyDescent="0.25">
      <c r="AG111" t="str">
        <f t="shared" si="1"/>
        <v>Wenn W&lt; 2000 - BAUS-1 Feder (SPR-1)</v>
      </c>
      <c r="AH111" t="s">
        <v>731</v>
      </c>
      <c r="AI111" t="s">
        <v>732</v>
      </c>
      <c r="AJ111" t="s">
        <v>733</v>
      </c>
      <c r="AK111" t="s">
        <v>734</v>
      </c>
      <c r="AL111" t="s">
        <v>735</v>
      </c>
      <c r="AM111" s="145" t="s">
        <v>736</v>
      </c>
    </row>
    <row r="112" spans="33:42" x14ac:dyDescent="0.25">
      <c r="AG112" t="str">
        <f t="shared" si="1"/>
        <v>Wenn 2000&gt;=W&lt;6000- BAUS-2 Federn (SPR-2)</v>
      </c>
      <c r="AH112" t="s">
        <v>737</v>
      </c>
      <c r="AI112" t="s">
        <v>738</v>
      </c>
      <c r="AJ112" t="s">
        <v>739</v>
      </c>
      <c r="AK112" t="s">
        <v>740</v>
      </c>
      <c r="AL112" t="s">
        <v>741</v>
      </c>
      <c r="AM112" s="145" t="s">
        <v>742</v>
      </c>
    </row>
    <row r="113" spans="33:42" x14ac:dyDescent="0.25">
      <c r="AG113" t="str">
        <f t="shared" si="1"/>
        <v>Wenn W&gt;=6000 - BAUS-4 Federn (SPR-4)</v>
      </c>
      <c r="AH113" t="s">
        <v>743</v>
      </c>
      <c r="AI113" t="s">
        <v>744</v>
      </c>
      <c r="AJ113" t="s">
        <v>745</v>
      </c>
      <c r="AK113" t="s">
        <v>746</v>
      </c>
      <c r="AL113" t="s">
        <v>747</v>
      </c>
      <c r="AM113" s="145" t="s">
        <v>748</v>
      </c>
    </row>
    <row r="114" spans="33:42" x14ac:dyDescent="0.25">
      <c r="AM114" s="146"/>
    </row>
    <row r="115" spans="33:42" x14ac:dyDescent="0.25">
      <c r="AG115" t="str">
        <f t="shared" si="1"/>
        <v>Wenn H=&lt;3300</v>
      </c>
      <c r="AH115" t="s">
        <v>749</v>
      </c>
      <c r="AI115" t="s">
        <v>750</v>
      </c>
      <c r="AJ115" t="s">
        <v>751</v>
      </c>
      <c r="AK115" t="s">
        <v>752</v>
      </c>
      <c r="AL115" t="s">
        <v>753</v>
      </c>
      <c r="AM115" s="145" t="s">
        <v>754</v>
      </c>
      <c r="AN115" s="147" t="s">
        <v>755</v>
      </c>
      <c r="AO115" s="147" t="s">
        <v>756</v>
      </c>
      <c r="AP115" s="148" t="s">
        <v>757</v>
      </c>
    </row>
    <row r="116" spans="33:42" x14ac:dyDescent="0.25">
      <c r="AG116" t="str">
        <f t="shared" si="1"/>
        <v>Wenn 3300&lt;H=&lt;5950</v>
      </c>
      <c r="AH116" t="s">
        <v>758</v>
      </c>
      <c r="AI116" t="s">
        <v>759</v>
      </c>
      <c r="AJ116" t="s">
        <v>760</v>
      </c>
      <c r="AK116" t="s">
        <v>761</v>
      </c>
      <c r="AL116" t="s">
        <v>762</v>
      </c>
      <c r="AM116" s="145" t="s">
        <v>763</v>
      </c>
      <c r="AN116" s="16" t="s">
        <v>764</v>
      </c>
      <c r="AO116" s="147" t="s">
        <v>765</v>
      </c>
      <c r="AP116" s="148" t="s">
        <v>766</v>
      </c>
    </row>
    <row r="117" spans="33:42" x14ac:dyDescent="0.25">
      <c r="AG117" t="str">
        <f t="shared" si="1"/>
        <v>Wenn H=&gt;5950</v>
      </c>
      <c r="AH117" t="s">
        <v>767</v>
      </c>
      <c r="AI117" t="s">
        <v>768</v>
      </c>
      <c r="AJ117" t="s">
        <v>769</v>
      </c>
      <c r="AK117" t="s">
        <v>770</v>
      </c>
      <c r="AL117" t="s">
        <v>771</v>
      </c>
      <c r="AM117" s="145" t="s">
        <v>772</v>
      </c>
      <c r="AN117" s="16" t="s">
        <v>773</v>
      </c>
      <c r="AO117" s="147" t="s">
        <v>774</v>
      </c>
      <c r="AP117" s="148" t="s">
        <v>775</v>
      </c>
    </row>
    <row r="119" spans="33:42" ht="15.75" x14ac:dyDescent="0.25">
      <c r="AG119" t="str">
        <f>VLOOKUP(AH119,AH119:AR195,$AE$1,FALSE)</f>
        <v>Geschweißte Stahlkonstruktion des Profils nach dem Maße 100x50x4</v>
      </c>
      <c r="AH119" t="s">
        <v>776</v>
      </c>
      <c r="AI119" t="s">
        <v>777</v>
      </c>
      <c r="AJ119" t="s">
        <v>778</v>
      </c>
      <c r="AK119" t="s">
        <v>779</v>
      </c>
      <c r="AL119" t="s">
        <v>780</v>
      </c>
      <c r="AM119" s="149" t="s">
        <v>781</v>
      </c>
      <c r="AN119" t="s">
        <v>782</v>
      </c>
      <c r="AO119" t="s">
        <v>783</v>
      </c>
      <c r="AP119" t="s">
        <v>784</v>
      </c>
    </row>
    <row r="120" spans="33:42" x14ac:dyDescent="0.25">
      <c r="AG120" t="str">
        <f t="shared" ref="AG120:AG128" si="2">VLOOKUP(AH120,AH120:AR196,$AE$1,FALSE)</f>
        <v>Paneel-Typ</v>
      </c>
      <c r="AH120" t="s">
        <v>785</v>
      </c>
      <c r="AI120" t="s">
        <v>786</v>
      </c>
      <c r="AJ120" s="150" t="s">
        <v>787</v>
      </c>
      <c r="AK120" t="s">
        <v>788</v>
      </c>
      <c r="AL120" t="s">
        <v>789</v>
      </c>
      <c r="AM120" s="145" t="s">
        <v>790</v>
      </c>
      <c r="AN120" t="s">
        <v>791</v>
      </c>
      <c r="AO120" t="s">
        <v>792</v>
      </c>
      <c r="AP120" t="s">
        <v>793</v>
      </c>
    </row>
    <row r="121" spans="33:42" x14ac:dyDescent="0.25">
      <c r="AG121" t="str">
        <f t="shared" si="2"/>
        <v>40mm</v>
      </c>
      <c r="AH121" t="s">
        <v>794</v>
      </c>
      <c r="AI121" t="s">
        <v>794</v>
      </c>
      <c r="AJ121" t="s">
        <v>794</v>
      </c>
      <c r="AK121" t="s">
        <v>794</v>
      </c>
      <c r="AL121" t="s">
        <v>794</v>
      </c>
      <c r="AM121" t="s">
        <v>794</v>
      </c>
      <c r="AN121" t="s">
        <v>795</v>
      </c>
      <c r="AO121" t="s">
        <v>794</v>
      </c>
      <c r="AP121" t="s">
        <v>796</v>
      </c>
    </row>
    <row r="122" spans="33:42" x14ac:dyDescent="0.25">
      <c r="AG122" t="str">
        <f t="shared" si="2"/>
        <v>80mm</v>
      </c>
      <c r="AH122" t="s">
        <v>797</v>
      </c>
      <c r="AI122" t="s">
        <v>797</v>
      </c>
      <c r="AJ122" t="s">
        <v>797</v>
      </c>
      <c r="AK122" t="s">
        <v>797</v>
      </c>
      <c r="AL122" t="s">
        <v>797</v>
      </c>
      <c r="AM122" t="s">
        <v>797</v>
      </c>
      <c r="AN122" t="s">
        <v>798</v>
      </c>
      <c r="AO122" t="s">
        <v>797</v>
      </c>
      <c r="AP122" t="s">
        <v>799</v>
      </c>
    </row>
    <row r="124" spans="33:42" ht="15.75" x14ac:dyDescent="0.25">
      <c r="AG124" t="str">
        <f t="shared" si="2"/>
        <v>Wenn 1 1/4 "Welle und Wellenachse H + 180 mm</v>
      </c>
      <c r="AH124" t="s">
        <v>800</v>
      </c>
      <c r="AI124" t="s">
        <v>801</v>
      </c>
      <c r="AJ124" s="151" t="s">
        <v>802</v>
      </c>
      <c r="AK124" s="151" t="s">
        <v>803</v>
      </c>
      <c r="AL124" s="151" t="s">
        <v>804</v>
      </c>
      <c r="AM124" s="151" t="s">
        <v>805</v>
      </c>
      <c r="AN124" t="s">
        <v>806</v>
      </c>
      <c r="AO124" t="s">
        <v>807</v>
      </c>
      <c r="AP124" t="s">
        <v>808</v>
      </c>
    </row>
    <row r="126" spans="33:42" x14ac:dyDescent="0.25">
      <c r="AG126" t="str">
        <f t="shared" si="2"/>
        <v>Laufschienen-Typ</v>
      </c>
      <c r="AH126" t="s">
        <v>809</v>
      </c>
      <c r="AI126" t="s">
        <v>810</v>
      </c>
      <c r="AJ126" t="s">
        <v>811</v>
      </c>
      <c r="AK126" t="s">
        <v>812</v>
      </c>
      <c r="AL126" t="s">
        <v>813</v>
      </c>
      <c r="AM126" t="s">
        <v>814</v>
      </c>
      <c r="AN126" t="s">
        <v>815</v>
      </c>
      <c r="AO126" t="s">
        <v>816</v>
      </c>
      <c r="AP126" t="s">
        <v>817</v>
      </c>
    </row>
    <row r="127" spans="33:42" x14ac:dyDescent="0.25">
      <c r="AG127" t="str">
        <f t="shared" si="2"/>
        <v>2"</v>
      </c>
      <c r="AH127" t="s">
        <v>818</v>
      </c>
      <c r="AI127" t="s">
        <v>818</v>
      </c>
      <c r="AJ127" t="s">
        <v>818</v>
      </c>
      <c r="AK127" t="s">
        <v>818</v>
      </c>
      <c r="AL127" t="s">
        <v>818</v>
      </c>
      <c r="AM127" t="s">
        <v>818</v>
      </c>
      <c r="AN127" t="s">
        <v>818</v>
      </c>
      <c r="AO127" t="s">
        <v>818</v>
      </c>
      <c r="AP127" t="s">
        <v>818</v>
      </c>
    </row>
    <row r="128" spans="33:42" x14ac:dyDescent="0.25">
      <c r="AG128" t="str">
        <f t="shared" si="2"/>
        <v>3"</v>
      </c>
      <c r="AH128" t="s">
        <v>819</v>
      </c>
      <c r="AI128" t="s">
        <v>819</v>
      </c>
      <c r="AJ128" t="s">
        <v>819</v>
      </c>
      <c r="AK128" t="s">
        <v>819</v>
      </c>
      <c r="AL128" t="s">
        <v>819</v>
      </c>
      <c r="AM128" t="s">
        <v>819</v>
      </c>
      <c r="AN128" t="s">
        <v>819</v>
      </c>
      <c r="AO128" t="s">
        <v>819</v>
      </c>
      <c r="AP128" t="s">
        <v>819</v>
      </c>
    </row>
  </sheetData>
  <sheetProtection password="996F" sheet="1" objects="1" selectLockedCells="1"/>
  <mergeCells count="50">
    <mergeCell ref="K9:M9"/>
    <mergeCell ref="R9:S9"/>
    <mergeCell ref="W2:AB3"/>
    <mergeCell ref="X4:AB4"/>
    <mergeCell ref="K7:M7"/>
    <mergeCell ref="O7:P7"/>
    <mergeCell ref="R7:S7"/>
    <mergeCell ref="D11:F11"/>
    <mergeCell ref="K11:M11"/>
    <mergeCell ref="E13:E14"/>
    <mergeCell ref="G13:G18"/>
    <mergeCell ref="Q13:R13"/>
    <mergeCell ref="S16:S17"/>
    <mergeCell ref="H17:H18"/>
    <mergeCell ref="N18:N19"/>
    <mergeCell ref="R19:R21"/>
    <mergeCell ref="S19:S21"/>
    <mergeCell ref="U21:U22"/>
    <mergeCell ref="T22:T23"/>
    <mergeCell ref="B23:B26"/>
    <mergeCell ref="T25:T27"/>
    <mergeCell ref="C26:C28"/>
    <mergeCell ref="B27:B28"/>
    <mergeCell ref="S27:S29"/>
    <mergeCell ref="G28:G29"/>
    <mergeCell ref="H28:H29"/>
    <mergeCell ref="C20:C22"/>
    <mergeCell ref="B16:B22"/>
    <mergeCell ref="C16:C19"/>
    <mergeCell ref="D33:F33"/>
    <mergeCell ref="E35:G35"/>
    <mergeCell ref="Q35:Q36"/>
    <mergeCell ref="Y36:AB36"/>
    <mergeCell ref="C39:C43"/>
    <mergeCell ref="E40:F40"/>
    <mergeCell ref="R51:AB52"/>
    <mergeCell ref="R54:AB55"/>
    <mergeCell ref="R61:S61"/>
    <mergeCell ref="T61:U61"/>
    <mergeCell ref="V61:W61"/>
    <mergeCell ref="X61:Y61"/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7"/>
  </mergeCells>
  <conditionalFormatting sqref="R9:S9">
    <cfRule type="expression" dxfId="2" priority="2" stopIfTrue="1">
      <formula>AND(OR($K$7=$AG$102,K7=""))</formula>
    </cfRule>
  </conditionalFormatting>
  <conditionalFormatting sqref="R7:S7">
    <cfRule type="expression" dxfId="1" priority="3" stopIfTrue="1">
      <formula>AND(OR($K$7=$AG$102,K7=""))</formula>
    </cfRule>
  </conditionalFormatting>
  <conditionalFormatting sqref="K3 K5">
    <cfRule type="cellIs" dxfId="0" priority="1" stopIfTrue="1" operator="equal">
      <formula>0</formula>
    </cfRule>
  </conditionalFormatting>
  <dataValidations count="7">
    <dataValidation type="list" allowBlank="1" showInputMessage="1" showErrorMessage="1" sqref="R7:S7" xr:uid="{00000000-0002-0000-0000-000000000000}">
      <formula1>$AG$107:$AG$108</formula1>
    </dataValidation>
    <dataValidation type="list" allowBlank="1" showInputMessage="1" showErrorMessage="1" sqref="E5" xr:uid="{00000000-0002-0000-0000-000001000000}">
      <formula1>$AD$3:$AD$11</formula1>
    </dataValidation>
    <dataValidation type="list" allowBlank="1" showInputMessage="1" showErrorMessage="1" sqref="K7" xr:uid="{00000000-0002-0000-0000-000002000000}">
      <formula1>$AG$102:$AG$104</formula1>
    </dataValidation>
    <dataValidation type="custom" allowBlank="1" showInputMessage="1" showErrorMessage="1" error="H max 6500 mm_x000a__x000a_WxH max 40 m2" sqref="K5" xr:uid="{00000000-0002-0000-0000-000003000000}">
      <formula1>IF(OR(K5&gt;6500,K3/1000*K5/1000&gt;40),FALSE,TRUE)</formula1>
    </dataValidation>
    <dataValidation type="custom" allowBlank="1" showInputMessage="1" showErrorMessage="1" error="W max 8000 mm" sqref="K3" xr:uid="{00000000-0002-0000-0000-000004000000}">
      <formula1>IF(OR(K3&gt;8000,K3/1000*K5/1000&gt;40),FALSE,TRUE)</formula1>
    </dataValidation>
    <dataValidation type="list" allowBlank="1" showInputMessage="1" showErrorMessage="1" sqref="K11" xr:uid="{00000000-0002-0000-0000-000005000000}">
      <formula1>AG127:AG128</formula1>
    </dataValidation>
    <dataValidation type="list" allowBlank="1" showInputMessage="1" showErrorMessage="1" sqref="K9" xr:uid="{00000000-0002-0000-0000-000006000000}">
      <formula1>AG121:AG122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I49"/>
  <sheetViews>
    <sheetView showGridLines="0" topLeftCell="A22" workbookViewId="0">
      <selection activeCell="H42" sqref="H42:I49"/>
    </sheetView>
  </sheetViews>
  <sheetFormatPr baseColWidth="10" defaultColWidth="9.140625" defaultRowHeight="15" x14ac:dyDescent="0.25"/>
  <sheetData>
    <row r="1" spans="1:9" x14ac:dyDescent="0.25">
      <c r="A1" s="152"/>
      <c r="B1" s="8"/>
      <c r="C1" s="8"/>
      <c r="D1" s="8"/>
      <c r="E1" s="8"/>
      <c r="F1" s="8"/>
      <c r="G1" s="8"/>
      <c r="H1" s="8"/>
      <c r="I1" s="153"/>
    </row>
    <row r="2" spans="1:9" x14ac:dyDescent="0.25">
      <c r="A2" s="37"/>
      <c r="B2" s="7"/>
      <c r="C2" s="7"/>
      <c r="D2" s="7"/>
      <c r="E2" s="7"/>
      <c r="F2" s="7"/>
      <c r="G2" s="7"/>
      <c r="H2" s="7"/>
      <c r="I2" s="6"/>
    </row>
    <row r="3" spans="1:9" x14ac:dyDescent="0.25">
      <c r="A3" s="37"/>
      <c r="B3" s="7"/>
      <c r="C3" s="47"/>
      <c r="D3" s="228">
        <f>general!$E$13</f>
        <v>120</v>
      </c>
      <c r="E3" s="7"/>
      <c r="F3" s="7"/>
      <c r="G3" s="7"/>
      <c r="H3" s="7"/>
      <c r="I3" s="6"/>
    </row>
    <row r="4" spans="1:9" x14ac:dyDescent="0.25">
      <c r="A4" s="37"/>
      <c r="B4" s="154"/>
      <c r="C4" s="7"/>
      <c r="D4" s="228"/>
      <c r="E4" s="7"/>
      <c r="F4" s="7"/>
      <c r="G4" s="7"/>
      <c r="H4" s="7"/>
      <c r="I4" s="6"/>
    </row>
    <row r="5" spans="1:9" x14ac:dyDescent="0.25">
      <c r="A5" s="37"/>
      <c r="B5" s="7"/>
      <c r="C5" s="7"/>
      <c r="D5" s="7"/>
      <c r="E5" s="7"/>
      <c r="F5" s="7"/>
      <c r="G5" s="7"/>
      <c r="H5" s="7"/>
      <c r="I5" s="6"/>
    </row>
    <row r="6" spans="1:9" x14ac:dyDescent="0.25">
      <c r="A6" s="155"/>
      <c r="B6" s="7"/>
      <c r="C6" s="7"/>
      <c r="D6" s="7"/>
      <c r="E6" s="7"/>
      <c r="F6" s="7"/>
      <c r="G6" s="7"/>
      <c r="H6" s="7"/>
      <c r="I6" s="6"/>
    </row>
    <row r="7" spans="1:9" x14ac:dyDescent="0.25">
      <c r="A7" s="155"/>
      <c r="B7" s="7"/>
      <c r="C7" s="7"/>
      <c r="D7" s="7"/>
      <c r="E7" s="7"/>
      <c r="F7" s="7"/>
      <c r="G7" s="7"/>
      <c r="H7" s="7"/>
      <c r="I7" s="6"/>
    </row>
    <row r="8" spans="1:9" x14ac:dyDescent="0.25">
      <c r="A8" s="155"/>
      <c r="B8" s="7"/>
      <c r="C8" s="7"/>
      <c r="D8" s="7"/>
      <c r="E8" s="7"/>
      <c r="F8" s="7"/>
      <c r="G8" s="7"/>
      <c r="H8" s="7"/>
      <c r="I8" s="6"/>
    </row>
    <row r="9" spans="1:9" x14ac:dyDescent="0.25">
      <c r="A9" s="155"/>
      <c r="B9" s="229" t="str">
        <f>general!C16</f>
        <v>A= 130</v>
      </c>
      <c r="C9" s="7"/>
      <c r="D9" s="7"/>
      <c r="E9" s="7"/>
      <c r="F9" s="7"/>
      <c r="G9" s="7"/>
      <c r="H9" s="7"/>
      <c r="I9" s="6"/>
    </row>
    <row r="10" spans="1:9" x14ac:dyDescent="0.25">
      <c r="A10" s="37"/>
      <c r="B10" s="229"/>
      <c r="C10" s="7"/>
      <c r="D10" s="7"/>
      <c r="E10" s="7"/>
      <c r="F10" s="7"/>
      <c r="G10" s="7"/>
      <c r="H10" s="7"/>
      <c r="I10" s="6"/>
    </row>
    <row r="11" spans="1:9" x14ac:dyDescent="0.25">
      <c r="A11" s="37"/>
      <c r="B11" s="229"/>
      <c r="C11" s="7"/>
      <c r="D11" s="7"/>
      <c r="E11" s="7"/>
      <c r="F11" s="7"/>
      <c r="G11" s="7"/>
      <c r="H11" s="7"/>
      <c r="I11" s="6"/>
    </row>
    <row r="12" spans="1:9" x14ac:dyDescent="0.25">
      <c r="A12" s="37"/>
      <c r="B12" s="229"/>
      <c r="C12" s="7"/>
      <c r="D12" s="7"/>
      <c r="E12" s="7"/>
      <c r="F12" s="7"/>
      <c r="G12" s="7"/>
      <c r="H12" s="7"/>
      <c r="I12" s="6"/>
    </row>
    <row r="13" spans="1:9" x14ac:dyDescent="0.25">
      <c r="A13" s="37"/>
      <c r="B13" s="7"/>
      <c r="C13" s="7"/>
      <c r="D13" s="7"/>
      <c r="E13" s="7"/>
      <c r="F13" s="7"/>
      <c r="G13" s="7"/>
      <c r="H13" s="7"/>
      <c r="I13" s="6"/>
    </row>
    <row r="14" spans="1:9" x14ac:dyDescent="0.25">
      <c r="A14" s="37"/>
      <c r="B14" s="7"/>
      <c r="C14" s="7"/>
      <c r="D14" s="7"/>
      <c r="E14" s="7"/>
      <c r="F14" s="7"/>
      <c r="G14" s="7"/>
      <c r="H14" s="7"/>
      <c r="I14" s="6"/>
    </row>
    <row r="15" spans="1:9" x14ac:dyDescent="0.25">
      <c r="A15" s="156"/>
      <c r="B15" s="7"/>
      <c r="C15" s="7"/>
      <c r="D15" s="7"/>
      <c r="E15" s="7"/>
      <c r="F15" s="7"/>
      <c r="G15" s="7"/>
      <c r="H15" s="7"/>
      <c r="I15" s="6"/>
    </row>
    <row r="16" spans="1:9" x14ac:dyDescent="0.25">
      <c r="A16" s="156"/>
      <c r="B16" s="7"/>
      <c r="C16" s="7"/>
      <c r="D16" s="7"/>
      <c r="E16" s="7"/>
      <c r="F16" s="7"/>
      <c r="G16" s="7"/>
      <c r="H16" s="7"/>
      <c r="I16" s="6"/>
    </row>
    <row r="17" spans="1:9" x14ac:dyDescent="0.25">
      <c r="A17" s="156"/>
      <c r="B17" s="7"/>
      <c r="C17" s="7"/>
      <c r="D17" s="7"/>
      <c r="E17" s="7"/>
      <c r="F17" s="7"/>
      <c r="G17" s="7"/>
      <c r="H17" s="7"/>
      <c r="I17" s="6"/>
    </row>
    <row r="18" spans="1:9" x14ac:dyDescent="0.25">
      <c r="A18" s="156"/>
      <c r="B18" s="7"/>
      <c r="C18" s="7"/>
      <c r="D18" s="7"/>
      <c r="E18" s="7"/>
      <c r="F18" s="7"/>
      <c r="G18" s="7"/>
      <c r="H18" s="7"/>
      <c r="I18" s="6"/>
    </row>
    <row r="19" spans="1:9" x14ac:dyDescent="0.25">
      <c r="A19" s="37"/>
      <c r="B19" s="7"/>
      <c r="C19" s="7"/>
      <c r="D19" s="7"/>
      <c r="E19" s="7"/>
      <c r="F19" s="7"/>
      <c r="G19" s="7"/>
      <c r="H19" s="7"/>
      <c r="I19" s="6"/>
    </row>
    <row r="20" spans="1:9" x14ac:dyDescent="0.25">
      <c r="A20" s="37"/>
      <c r="B20" s="7"/>
      <c r="C20" s="7"/>
      <c r="D20" s="7"/>
      <c r="E20" s="7"/>
      <c r="F20" s="7"/>
      <c r="G20" s="7"/>
      <c r="H20" s="7"/>
      <c r="I20" s="6"/>
    </row>
    <row r="21" spans="1:9" x14ac:dyDescent="0.25">
      <c r="A21" s="37"/>
      <c r="B21" s="229" t="str">
        <f>general!$C$26</f>
        <v>H=</v>
      </c>
      <c r="C21" s="7"/>
      <c r="D21" s="7"/>
      <c r="E21" s="7"/>
      <c r="F21" s="7"/>
      <c r="G21" s="7"/>
      <c r="H21" s="7"/>
      <c r="I21" s="6"/>
    </row>
    <row r="22" spans="1:9" x14ac:dyDescent="0.25">
      <c r="A22" s="37"/>
      <c r="B22" s="229"/>
      <c r="C22" s="7"/>
      <c r="D22" s="7"/>
      <c r="E22" s="7"/>
      <c r="F22" s="7"/>
      <c r="G22" s="7"/>
      <c r="H22" s="7"/>
      <c r="I22" s="6"/>
    </row>
    <row r="23" spans="1:9" x14ac:dyDescent="0.25">
      <c r="A23" s="37"/>
      <c r="B23" s="229"/>
      <c r="C23" s="7"/>
      <c r="D23" s="7"/>
      <c r="E23" s="7"/>
      <c r="F23" s="7"/>
      <c r="G23" s="7"/>
      <c r="H23" s="7"/>
      <c r="I23" s="6"/>
    </row>
    <row r="24" spans="1:9" x14ac:dyDescent="0.25">
      <c r="A24" s="37"/>
      <c r="B24" s="229"/>
      <c r="C24" s="7"/>
      <c r="D24" s="7"/>
      <c r="E24" s="7"/>
      <c r="F24" s="7"/>
      <c r="G24" s="7"/>
      <c r="H24" s="7"/>
      <c r="I24" s="6"/>
    </row>
    <row r="25" spans="1:9" x14ac:dyDescent="0.25">
      <c r="A25" s="37"/>
      <c r="B25" s="7"/>
      <c r="C25" s="7"/>
      <c r="D25" s="7"/>
      <c r="E25" s="7"/>
      <c r="F25" s="7"/>
      <c r="G25" s="7"/>
      <c r="H25" s="7"/>
      <c r="I25" s="6"/>
    </row>
    <row r="26" spans="1:9" x14ac:dyDescent="0.25">
      <c r="A26" s="37"/>
      <c r="B26" s="7"/>
      <c r="C26" s="7"/>
      <c r="D26" s="7"/>
      <c r="E26" s="7"/>
      <c r="F26" s="7"/>
      <c r="G26" s="7"/>
      <c r="H26" s="7"/>
      <c r="I26" s="6"/>
    </row>
    <row r="27" spans="1:9" x14ac:dyDescent="0.25">
      <c r="A27" s="37"/>
      <c r="B27" s="7"/>
      <c r="C27" s="7"/>
      <c r="D27" s="47"/>
      <c r="E27" s="7"/>
      <c r="F27" s="7"/>
      <c r="G27" s="47"/>
      <c r="H27" s="7"/>
      <c r="I27" s="6"/>
    </row>
    <row r="28" spans="1:9" x14ac:dyDescent="0.25">
      <c r="A28" s="37"/>
      <c r="B28" s="7"/>
      <c r="C28" s="7"/>
      <c r="D28" s="7"/>
      <c r="E28" s="7"/>
      <c r="F28" s="47"/>
      <c r="G28" s="7"/>
      <c r="H28" s="7"/>
      <c r="I28" s="6"/>
    </row>
    <row r="29" spans="1:9" x14ac:dyDescent="0.25">
      <c r="A29" s="37"/>
      <c r="B29" s="7"/>
      <c r="C29" s="7"/>
      <c r="D29" s="47">
        <f>general!$E$34</f>
        <v>100</v>
      </c>
      <c r="E29" s="7"/>
      <c r="F29" s="47">
        <f>general!$G$34</f>
        <v>100</v>
      </c>
      <c r="G29" s="7"/>
      <c r="H29" s="7"/>
      <c r="I29" s="6"/>
    </row>
    <row r="30" spans="1:9" x14ac:dyDescent="0.25">
      <c r="A30" s="37"/>
      <c r="B30" s="7"/>
      <c r="C30" s="7"/>
      <c r="D30" s="7"/>
      <c r="E30" s="7"/>
      <c r="F30" s="7"/>
      <c r="G30" s="7"/>
      <c r="H30" s="7"/>
      <c r="I30" s="6"/>
    </row>
    <row r="31" spans="1:9" x14ac:dyDescent="0.25">
      <c r="A31" s="37"/>
      <c r="B31" s="7"/>
      <c r="C31" s="7"/>
      <c r="D31" s="7"/>
      <c r="E31" s="47" t="str">
        <f>general!$F$36</f>
        <v xml:space="preserve">W= </v>
      </c>
      <c r="F31" s="7"/>
      <c r="G31" s="7"/>
      <c r="H31" s="7"/>
      <c r="I31" s="6"/>
    </row>
    <row r="32" spans="1:9" x14ac:dyDescent="0.25">
      <c r="A32" s="37"/>
      <c r="B32" s="7"/>
      <c r="C32" s="7"/>
      <c r="D32" s="7"/>
      <c r="E32" s="7"/>
      <c r="F32" s="7"/>
      <c r="G32" s="7"/>
      <c r="H32" s="7"/>
      <c r="I32" s="6"/>
    </row>
    <row r="33" spans="1:9" x14ac:dyDescent="0.25">
      <c r="A33" s="37"/>
      <c r="B33" s="7"/>
      <c r="C33" s="7"/>
      <c r="D33" s="7"/>
      <c r="E33" s="7"/>
      <c r="F33" s="7"/>
      <c r="G33" s="7"/>
      <c r="H33" s="7"/>
      <c r="I33" s="6"/>
    </row>
    <row r="34" spans="1:9" x14ac:dyDescent="0.25">
      <c r="A34" s="37"/>
      <c r="B34" s="7"/>
      <c r="C34" s="7"/>
      <c r="D34" s="7"/>
      <c r="E34" s="7"/>
      <c r="F34" s="7"/>
      <c r="G34" s="7"/>
      <c r="H34" s="7"/>
      <c r="I34" s="6"/>
    </row>
    <row r="35" spans="1:9" x14ac:dyDescent="0.25">
      <c r="A35" s="37"/>
      <c r="B35" s="7"/>
      <c r="C35" s="7"/>
      <c r="D35" s="7"/>
      <c r="E35" s="7"/>
      <c r="F35" s="7"/>
      <c r="G35" s="7"/>
      <c r="H35" s="7"/>
      <c r="I35" s="6"/>
    </row>
    <row r="36" spans="1:9" x14ac:dyDescent="0.25">
      <c r="A36" s="37"/>
      <c r="B36" s="7"/>
      <c r="C36" s="7"/>
      <c r="D36" s="7"/>
      <c r="E36" s="7"/>
      <c r="F36" s="7"/>
      <c r="G36" s="7"/>
      <c r="H36" s="7"/>
      <c r="I36" s="6"/>
    </row>
    <row r="37" spans="1:9" x14ac:dyDescent="0.25">
      <c r="A37" s="37"/>
      <c r="B37" s="7"/>
      <c r="C37" s="7"/>
      <c r="D37" s="7"/>
      <c r="E37" s="7"/>
      <c r="F37" s="7"/>
      <c r="G37" s="7"/>
      <c r="H37" s="7"/>
      <c r="I37" s="6"/>
    </row>
    <row r="38" spans="1:9" x14ac:dyDescent="0.25">
      <c r="A38" s="37"/>
      <c r="B38" s="7"/>
      <c r="C38" s="7"/>
      <c r="D38" s="7"/>
      <c r="E38" s="7"/>
      <c r="F38" s="7"/>
      <c r="G38" s="7"/>
      <c r="H38" s="7"/>
      <c r="I38" s="6"/>
    </row>
    <row r="39" spans="1:9" ht="15.75" thickBot="1" x14ac:dyDescent="0.3">
      <c r="A39" s="37"/>
      <c r="B39" s="7"/>
      <c r="C39" s="7"/>
      <c r="D39" s="7"/>
      <c r="E39" s="7"/>
      <c r="F39" s="7"/>
      <c r="G39" s="7"/>
      <c r="H39" s="7"/>
      <c r="I39" s="6"/>
    </row>
    <row r="40" spans="1:9" x14ac:dyDescent="0.25">
      <c r="A40" s="37"/>
      <c r="B40" s="7"/>
      <c r="C40" s="158" t="str">
        <f>general!W2</f>
        <v>VERTIKALER BESCHLAG (VL)</v>
      </c>
      <c r="D40" s="159"/>
      <c r="E40" s="159"/>
      <c r="F40" s="159"/>
      <c r="G40" s="159"/>
      <c r="H40" s="159"/>
      <c r="I40" s="160"/>
    </row>
    <row r="41" spans="1:9" ht="15.75" thickBot="1" x14ac:dyDescent="0.3">
      <c r="A41" s="37"/>
      <c r="B41" s="7"/>
      <c r="C41" s="161"/>
      <c r="D41" s="162"/>
      <c r="E41" s="162"/>
      <c r="F41" s="162"/>
      <c r="G41" s="162"/>
      <c r="H41" s="162"/>
      <c r="I41" s="163"/>
    </row>
    <row r="42" spans="1:9" ht="15.75" thickBot="1" x14ac:dyDescent="0.3">
      <c r="A42" s="37"/>
      <c r="B42" s="7"/>
      <c r="C42" s="223" t="str">
        <f>general!$AG$106</f>
        <v>Antriebesposition</v>
      </c>
      <c r="D42" s="224"/>
      <c r="E42" s="158" t="str">
        <f>general!$AG$108</f>
        <v>Auf der rechten Seite</v>
      </c>
      <c r="F42" s="159"/>
      <c r="G42" s="160"/>
      <c r="H42" s="230"/>
      <c r="I42" s="230"/>
    </row>
    <row r="43" spans="1:9" ht="15.75" thickBot="1" x14ac:dyDescent="0.3">
      <c r="A43" s="37"/>
      <c r="B43" s="7"/>
      <c r="C43" s="225"/>
      <c r="D43" s="226"/>
      <c r="E43" s="161"/>
      <c r="F43" s="162"/>
      <c r="G43" s="163"/>
      <c r="H43" s="230"/>
      <c r="I43" s="230"/>
    </row>
    <row r="44" spans="1:9" ht="15.75" thickBot="1" x14ac:dyDescent="0.3">
      <c r="A44" s="37"/>
      <c r="B44" s="7"/>
      <c r="C44" s="223" t="str">
        <f>general!$R$61</f>
        <v>Aufgestellt:</v>
      </c>
      <c r="D44" s="224"/>
      <c r="E44" s="222"/>
      <c r="F44" s="222"/>
      <c r="G44" s="222"/>
      <c r="H44" s="230"/>
      <c r="I44" s="230"/>
    </row>
    <row r="45" spans="1:9" ht="15.75" thickBot="1" x14ac:dyDescent="0.3">
      <c r="A45" s="37"/>
      <c r="B45" s="7"/>
      <c r="C45" s="225"/>
      <c r="D45" s="226"/>
      <c r="E45" s="222"/>
      <c r="F45" s="222"/>
      <c r="G45" s="222"/>
      <c r="H45" s="230"/>
      <c r="I45" s="230"/>
    </row>
    <row r="46" spans="1:9" ht="15.75" thickBot="1" x14ac:dyDescent="0.3">
      <c r="A46" s="37"/>
      <c r="B46" s="7"/>
      <c r="C46" s="223" t="str">
        <f>general!$T$61</f>
        <v>Bereinigt:</v>
      </c>
      <c r="D46" s="224"/>
      <c r="E46" s="222"/>
      <c r="F46" s="222"/>
      <c r="G46" s="222"/>
      <c r="H46" s="230"/>
      <c r="I46" s="230"/>
    </row>
    <row r="47" spans="1:9" ht="15.75" thickBot="1" x14ac:dyDescent="0.3">
      <c r="A47" s="37"/>
      <c r="B47" s="7"/>
      <c r="C47" s="225"/>
      <c r="D47" s="226"/>
      <c r="E47" s="222"/>
      <c r="F47" s="222"/>
      <c r="G47" s="222"/>
      <c r="H47" s="230"/>
      <c r="I47" s="230"/>
    </row>
    <row r="48" spans="1:9" ht="15.75" thickBot="1" x14ac:dyDescent="0.3">
      <c r="A48" s="37"/>
      <c r="B48" s="7"/>
      <c r="C48" s="223" t="str">
        <f>general!$Z$61</f>
        <v>Datum:</v>
      </c>
      <c r="D48" s="224"/>
      <c r="E48" s="227"/>
      <c r="F48" s="227"/>
      <c r="G48" s="227"/>
      <c r="H48" s="230"/>
      <c r="I48" s="230"/>
    </row>
    <row r="49" spans="1:9" ht="15.75" thickBot="1" x14ac:dyDescent="0.3">
      <c r="A49" s="137"/>
      <c r="B49" s="1"/>
      <c r="C49" s="225"/>
      <c r="D49" s="226"/>
      <c r="E49" s="227"/>
      <c r="F49" s="227"/>
      <c r="G49" s="227"/>
      <c r="H49" s="230"/>
      <c r="I49" s="230"/>
    </row>
  </sheetData>
  <sheetProtection password="996F" sheet="1" objects="1" selectLockedCells="1"/>
  <mergeCells count="13">
    <mergeCell ref="E46:G47"/>
    <mergeCell ref="C48:D49"/>
    <mergeCell ref="E48:G49"/>
    <mergeCell ref="D3:D4"/>
    <mergeCell ref="B9:B12"/>
    <mergeCell ref="B21:B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L49"/>
  <sheetViews>
    <sheetView showGridLines="0" topLeftCell="A23" zoomScaleNormal="100" workbookViewId="0">
      <selection activeCell="E48" sqref="E48:G49"/>
    </sheetView>
  </sheetViews>
  <sheetFormatPr baseColWidth="10" defaultColWidth="9.140625" defaultRowHeight="15" x14ac:dyDescent="0.25"/>
  <sheetData>
    <row r="1" spans="1:9" x14ac:dyDescent="0.25">
      <c r="A1" s="152"/>
      <c r="B1" s="8"/>
      <c r="C1" s="8"/>
      <c r="D1" s="8"/>
      <c r="E1" s="8"/>
      <c r="F1" s="8"/>
      <c r="G1" s="8"/>
      <c r="H1" s="8"/>
      <c r="I1" s="153"/>
    </row>
    <row r="2" spans="1:9" x14ac:dyDescent="0.25">
      <c r="A2" s="37"/>
      <c r="B2" s="7"/>
      <c r="C2" s="7"/>
      <c r="D2" s="7"/>
      <c r="E2" s="7"/>
      <c r="F2" s="7"/>
      <c r="G2" s="7"/>
      <c r="H2" s="7"/>
      <c r="I2" s="6"/>
    </row>
    <row r="3" spans="1:9" x14ac:dyDescent="0.25">
      <c r="A3" s="37"/>
      <c r="B3" s="7"/>
      <c r="C3" s="47"/>
      <c r="D3" s="47"/>
      <c r="E3" s="7"/>
      <c r="F3" s="231">
        <f>general!$E$13</f>
        <v>120</v>
      </c>
      <c r="G3" s="7"/>
      <c r="H3" s="7"/>
      <c r="I3" s="6"/>
    </row>
    <row r="4" spans="1:9" x14ac:dyDescent="0.25">
      <c r="A4" s="37"/>
      <c r="B4" s="154"/>
      <c r="C4" s="7"/>
      <c r="D4" s="7"/>
      <c r="E4" s="7"/>
      <c r="F4" s="231"/>
      <c r="G4" s="7"/>
      <c r="H4" s="7"/>
      <c r="I4" s="6"/>
    </row>
    <row r="5" spans="1:9" x14ac:dyDescent="0.25">
      <c r="A5" s="37"/>
      <c r="B5" s="7"/>
      <c r="C5" s="7"/>
      <c r="D5" s="7"/>
      <c r="E5" s="7"/>
      <c r="F5" s="7"/>
      <c r="G5" s="7"/>
      <c r="H5" s="7"/>
      <c r="I5" s="6"/>
    </row>
    <row r="6" spans="1:9" x14ac:dyDescent="0.25">
      <c r="A6" s="155"/>
      <c r="B6" s="7"/>
      <c r="C6" s="7"/>
      <c r="D6" s="7"/>
      <c r="E6" s="7"/>
      <c r="F6" s="7"/>
      <c r="G6" s="7"/>
      <c r="H6" s="7"/>
      <c r="I6" s="6"/>
    </row>
    <row r="7" spans="1:9" x14ac:dyDescent="0.25">
      <c r="A7" s="155"/>
      <c r="B7" s="7"/>
      <c r="C7" s="7"/>
      <c r="D7" s="7"/>
      <c r="E7" s="7"/>
      <c r="F7" s="7"/>
      <c r="G7" s="7"/>
      <c r="H7" s="7"/>
      <c r="I7" s="6"/>
    </row>
    <row r="8" spans="1:9" x14ac:dyDescent="0.25">
      <c r="A8" s="155"/>
      <c r="B8" s="7"/>
      <c r="C8" s="7"/>
      <c r="D8" s="7"/>
      <c r="E8" s="7"/>
      <c r="F8" s="7"/>
      <c r="G8" s="7"/>
      <c r="H8" s="7"/>
      <c r="I8" s="6"/>
    </row>
    <row r="9" spans="1:9" x14ac:dyDescent="0.25">
      <c r="A9" s="155"/>
      <c r="B9" s="44"/>
      <c r="C9" s="7"/>
      <c r="D9" s="7"/>
      <c r="E9" s="7"/>
      <c r="F9" s="7"/>
      <c r="G9" s="7"/>
      <c r="H9" s="229" t="str">
        <f>general!$C$16</f>
        <v>A= 130</v>
      </c>
      <c r="I9" s="6"/>
    </row>
    <row r="10" spans="1:9" x14ac:dyDescent="0.25">
      <c r="A10" s="37"/>
      <c r="B10" s="44"/>
      <c r="C10" s="7"/>
      <c r="D10" s="7"/>
      <c r="E10" s="7"/>
      <c r="F10" s="7"/>
      <c r="G10" s="7"/>
      <c r="H10" s="229"/>
      <c r="I10" s="6"/>
    </row>
    <row r="11" spans="1:9" x14ac:dyDescent="0.25">
      <c r="A11" s="37"/>
      <c r="B11" s="44"/>
      <c r="C11" s="7"/>
      <c r="D11" s="7"/>
      <c r="E11" s="7"/>
      <c r="F11" s="7"/>
      <c r="G11" s="7"/>
      <c r="H11" s="229"/>
      <c r="I11" s="6"/>
    </row>
    <row r="12" spans="1:9" x14ac:dyDescent="0.25">
      <c r="A12" s="37"/>
      <c r="B12" s="44"/>
      <c r="C12" s="7"/>
      <c r="D12" s="7"/>
      <c r="E12" s="7"/>
      <c r="F12" s="7"/>
      <c r="G12" s="7"/>
      <c r="H12" s="229"/>
      <c r="I12" s="6"/>
    </row>
    <row r="13" spans="1:9" x14ac:dyDescent="0.25">
      <c r="A13" s="37"/>
      <c r="B13" s="7"/>
      <c r="C13" s="7"/>
      <c r="D13" s="7"/>
      <c r="E13" s="7"/>
      <c r="F13" s="7"/>
      <c r="G13" s="7"/>
      <c r="H13" s="7"/>
      <c r="I13" s="6"/>
    </row>
    <row r="14" spans="1:9" x14ac:dyDescent="0.25">
      <c r="A14" s="37"/>
      <c r="B14" s="7"/>
      <c r="C14" s="7"/>
      <c r="D14" s="7"/>
      <c r="E14" s="7"/>
      <c r="F14" s="7"/>
      <c r="G14" s="7"/>
      <c r="H14" s="7"/>
      <c r="I14" s="6"/>
    </row>
    <row r="15" spans="1:9" x14ac:dyDescent="0.25">
      <c r="A15" s="156"/>
      <c r="B15" s="7"/>
      <c r="C15" s="7"/>
      <c r="D15" s="7"/>
      <c r="E15" s="7"/>
      <c r="F15" s="7"/>
      <c r="G15" s="7"/>
      <c r="H15" s="7"/>
      <c r="I15" s="6"/>
    </row>
    <row r="16" spans="1:9" x14ac:dyDescent="0.25">
      <c r="A16" s="156"/>
      <c r="B16" s="7"/>
      <c r="C16" s="7"/>
      <c r="D16" s="7"/>
      <c r="E16" s="7"/>
      <c r="F16" s="7"/>
      <c r="G16" s="7"/>
      <c r="H16" s="7"/>
      <c r="I16" s="6"/>
    </row>
    <row r="17" spans="1:9" x14ac:dyDescent="0.25">
      <c r="A17" s="156"/>
      <c r="B17" s="7"/>
      <c r="C17" s="7"/>
      <c r="D17" s="7"/>
      <c r="E17" s="7"/>
      <c r="F17" s="7"/>
      <c r="G17" s="7"/>
      <c r="H17" s="7"/>
      <c r="I17" s="6"/>
    </row>
    <row r="18" spans="1:9" x14ac:dyDescent="0.25">
      <c r="A18" s="156"/>
      <c r="B18" s="7"/>
      <c r="C18" s="7"/>
      <c r="D18" s="7"/>
      <c r="E18" s="7"/>
      <c r="F18" s="7"/>
      <c r="G18" s="7"/>
      <c r="H18" s="7"/>
      <c r="I18" s="6"/>
    </row>
    <row r="19" spans="1:9" x14ac:dyDescent="0.25">
      <c r="A19" s="37"/>
      <c r="B19" s="7"/>
      <c r="C19" s="7"/>
      <c r="D19" s="7"/>
      <c r="E19" s="7"/>
      <c r="F19" s="7"/>
      <c r="G19" s="7"/>
      <c r="H19" s="7"/>
      <c r="I19" s="6"/>
    </row>
    <row r="20" spans="1:9" x14ac:dyDescent="0.25">
      <c r="A20" s="37"/>
      <c r="B20" s="7"/>
      <c r="C20" s="7"/>
      <c r="D20" s="7"/>
      <c r="E20" s="7"/>
      <c r="F20" s="7"/>
      <c r="G20" s="7"/>
      <c r="H20" s="7"/>
      <c r="I20" s="6"/>
    </row>
    <row r="21" spans="1:9" x14ac:dyDescent="0.25">
      <c r="A21" s="37"/>
      <c r="B21" s="44"/>
      <c r="C21" s="7"/>
      <c r="D21" s="7"/>
      <c r="E21" s="7"/>
      <c r="F21" s="7"/>
      <c r="G21" s="7"/>
      <c r="H21" s="229" t="str">
        <f>general!$C$26</f>
        <v>H=</v>
      </c>
      <c r="I21" s="6"/>
    </row>
    <row r="22" spans="1:9" x14ac:dyDescent="0.25">
      <c r="A22" s="37"/>
      <c r="B22" s="44"/>
      <c r="C22" s="7"/>
      <c r="D22" s="7"/>
      <c r="E22" s="7"/>
      <c r="F22" s="7"/>
      <c r="G22" s="7"/>
      <c r="H22" s="229"/>
      <c r="I22" s="6"/>
    </row>
    <row r="23" spans="1:9" x14ac:dyDescent="0.25">
      <c r="A23" s="37"/>
      <c r="B23" s="44"/>
      <c r="C23" s="7"/>
      <c r="D23" s="7"/>
      <c r="E23" s="7"/>
      <c r="F23" s="7"/>
      <c r="G23" s="7"/>
      <c r="H23" s="229"/>
      <c r="I23" s="6"/>
    </row>
    <row r="24" spans="1:9" x14ac:dyDescent="0.25">
      <c r="A24" s="37"/>
      <c r="B24" s="44"/>
      <c r="C24" s="7"/>
      <c r="D24" s="7"/>
      <c r="E24" s="7"/>
      <c r="F24" s="7"/>
      <c r="G24" s="7"/>
      <c r="H24" s="229"/>
      <c r="I24" s="6"/>
    </row>
    <row r="25" spans="1:9" x14ac:dyDescent="0.25">
      <c r="A25" s="37"/>
      <c r="B25" s="7"/>
      <c r="C25" s="7"/>
      <c r="D25" s="7"/>
      <c r="E25" s="7"/>
      <c r="F25" s="7"/>
      <c r="G25" s="7"/>
      <c r="H25" s="7"/>
      <c r="I25" s="6"/>
    </row>
    <row r="26" spans="1:9" x14ac:dyDescent="0.25">
      <c r="A26" s="37"/>
      <c r="B26" s="7"/>
      <c r="C26" s="7"/>
      <c r="D26" s="7"/>
      <c r="E26" s="7"/>
      <c r="F26" s="7"/>
      <c r="G26" s="7"/>
      <c r="H26" s="7"/>
      <c r="I26" s="6"/>
    </row>
    <row r="27" spans="1:9" x14ac:dyDescent="0.25">
      <c r="A27" s="37"/>
      <c r="B27" s="7"/>
      <c r="C27" s="7"/>
      <c r="D27" s="47"/>
      <c r="E27" s="7"/>
      <c r="F27" s="7"/>
      <c r="G27" s="47"/>
      <c r="H27" s="7"/>
      <c r="I27" s="6"/>
    </row>
    <row r="28" spans="1:9" x14ac:dyDescent="0.25">
      <c r="A28" s="37"/>
      <c r="B28" s="7"/>
      <c r="C28" s="7"/>
      <c r="D28" s="7"/>
      <c r="E28" s="7"/>
      <c r="F28" s="47"/>
      <c r="G28" s="7"/>
      <c r="H28" s="7"/>
      <c r="I28" s="6"/>
    </row>
    <row r="29" spans="1:9" x14ac:dyDescent="0.25">
      <c r="A29" s="37"/>
      <c r="B29" s="7"/>
      <c r="C29" s="7"/>
      <c r="E29" s="7"/>
      <c r="G29" s="7"/>
      <c r="H29" s="7"/>
      <c r="I29" s="6"/>
    </row>
    <row r="30" spans="1:9" x14ac:dyDescent="0.25">
      <c r="A30" s="37"/>
      <c r="B30" s="7"/>
      <c r="C30" s="7"/>
      <c r="D30" s="154">
        <f>general!$E$34</f>
        <v>100</v>
      </c>
      <c r="E30" s="7"/>
      <c r="F30" s="154">
        <f>general!$G$34</f>
        <v>100</v>
      </c>
      <c r="G30" s="7"/>
      <c r="H30" s="7"/>
      <c r="I30" s="6"/>
    </row>
    <row r="31" spans="1:9" x14ac:dyDescent="0.25">
      <c r="A31" s="37"/>
      <c r="B31" s="7"/>
      <c r="C31" s="7"/>
      <c r="D31" s="7"/>
      <c r="F31" s="7"/>
      <c r="G31" s="7"/>
      <c r="H31" s="7"/>
      <c r="I31" s="6"/>
    </row>
    <row r="32" spans="1:9" x14ac:dyDescent="0.25">
      <c r="A32" s="37"/>
      <c r="B32" s="7"/>
      <c r="C32" s="7"/>
      <c r="D32" s="7"/>
      <c r="E32" s="47" t="str">
        <f>general!$F$36</f>
        <v xml:space="preserve">W= </v>
      </c>
      <c r="F32" s="7"/>
      <c r="G32" s="7"/>
      <c r="H32" s="7"/>
      <c r="I32" s="6"/>
    </row>
    <row r="33" spans="1:12" x14ac:dyDescent="0.25">
      <c r="A33" s="37"/>
      <c r="B33" s="7"/>
      <c r="C33" s="7"/>
      <c r="D33" s="7"/>
      <c r="E33" s="7"/>
      <c r="F33" s="7"/>
      <c r="G33" s="7"/>
      <c r="H33" s="7"/>
      <c r="I33" s="6"/>
    </row>
    <row r="34" spans="1:12" x14ac:dyDescent="0.25">
      <c r="A34" s="37"/>
      <c r="B34" s="7"/>
      <c r="C34" s="7"/>
      <c r="D34" s="7"/>
      <c r="E34" s="7"/>
      <c r="F34" s="7"/>
      <c r="G34" s="7"/>
      <c r="H34" s="7"/>
      <c r="I34" s="6"/>
      <c r="L34" s="157"/>
    </row>
    <row r="35" spans="1:12" x14ac:dyDescent="0.25">
      <c r="A35" s="37"/>
      <c r="B35" s="7"/>
      <c r="C35" s="7"/>
      <c r="D35" s="7"/>
      <c r="E35" s="7"/>
      <c r="F35" s="7"/>
      <c r="G35" s="7"/>
      <c r="H35" s="7"/>
      <c r="I35" s="6"/>
    </row>
    <row r="36" spans="1:12" x14ac:dyDescent="0.25">
      <c r="A36" s="37"/>
      <c r="B36" s="7"/>
      <c r="C36" s="7"/>
      <c r="D36" s="7"/>
      <c r="E36" s="7"/>
      <c r="F36" s="7"/>
      <c r="G36" s="7"/>
      <c r="H36" s="7"/>
      <c r="I36" s="6"/>
    </row>
    <row r="37" spans="1:12" x14ac:dyDescent="0.25">
      <c r="A37" s="37"/>
      <c r="B37" s="7"/>
      <c r="C37" s="7"/>
      <c r="D37" s="7"/>
      <c r="E37" s="7"/>
      <c r="F37" s="7"/>
      <c r="G37" s="7"/>
      <c r="H37" s="7"/>
      <c r="I37" s="6"/>
    </row>
    <row r="38" spans="1:12" x14ac:dyDescent="0.25">
      <c r="A38" s="37"/>
      <c r="B38" s="7"/>
      <c r="C38" s="7"/>
      <c r="D38" s="7"/>
      <c r="E38" s="7"/>
      <c r="F38" s="7"/>
      <c r="G38" s="7"/>
      <c r="H38" s="7"/>
      <c r="I38" s="6"/>
    </row>
    <row r="39" spans="1:12" ht="15.75" thickBot="1" x14ac:dyDescent="0.3">
      <c r="A39" s="37"/>
      <c r="B39" s="7"/>
      <c r="C39" s="7"/>
      <c r="D39" s="7"/>
      <c r="E39" s="7"/>
      <c r="F39" s="7"/>
      <c r="G39" s="7"/>
      <c r="H39" s="7"/>
      <c r="I39" s="6"/>
    </row>
    <row r="40" spans="1:12" x14ac:dyDescent="0.25">
      <c r="A40" s="37"/>
      <c r="B40" s="7"/>
      <c r="C40" s="158" t="str">
        <f>general!W2</f>
        <v>VERTIKALER BESCHLAG (VL)</v>
      </c>
      <c r="D40" s="159"/>
      <c r="E40" s="159"/>
      <c r="F40" s="159"/>
      <c r="G40" s="159"/>
      <c r="H40" s="159"/>
      <c r="I40" s="160"/>
    </row>
    <row r="41" spans="1:12" ht="15.75" thickBot="1" x14ac:dyDescent="0.3">
      <c r="A41" s="37"/>
      <c r="B41" s="7"/>
      <c r="C41" s="161"/>
      <c r="D41" s="162"/>
      <c r="E41" s="162"/>
      <c r="F41" s="162"/>
      <c r="G41" s="162"/>
      <c r="H41" s="162"/>
      <c r="I41" s="163"/>
    </row>
    <row r="42" spans="1:12" ht="15.75" thickBot="1" x14ac:dyDescent="0.3">
      <c r="A42" s="37"/>
      <c r="B42" s="7"/>
      <c r="C42" s="223" t="str">
        <f>general!$AG$106</f>
        <v>Antriebesposition</v>
      </c>
      <c r="D42" s="224"/>
      <c r="E42" s="158" t="str">
        <f>general!$AG$107</f>
        <v>Auf der linken Seite</v>
      </c>
      <c r="F42" s="159"/>
      <c r="G42" s="160"/>
      <c r="H42" s="230"/>
      <c r="I42" s="230"/>
    </row>
    <row r="43" spans="1:12" ht="15.75" thickBot="1" x14ac:dyDescent="0.3">
      <c r="A43" s="37"/>
      <c r="B43" s="7"/>
      <c r="C43" s="225"/>
      <c r="D43" s="226"/>
      <c r="E43" s="161"/>
      <c r="F43" s="162"/>
      <c r="G43" s="163"/>
      <c r="H43" s="230"/>
      <c r="I43" s="230"/>
    </row>
    <row r="44" spans="1:12" ht="15.75" thickBot="1" x14ac:dyDescent="0.3">
      <c r="A44" s="37"/>
      <c r="B44" s="7"/>
      <c r="C44" s="223" t="str">
        <f>general!$R$61</f>
        <v>Aufgestellt:</v>
      </c>
      <c r="D44" s="224"/>
      <c r="E44" s="222"/>
      <c r="F44" s="222"/>
      <c r="G44" s="222"/>
      <c r="H44" s="230"/>
      <c r="I44" s="230"/>
    </row>
    <row r="45" spans="1:12" ht="15.75" thickBot="1" x14ac:dyDescent="0.3">
      <c r="A45" s="37"/>
      <c r="B45" s="7"/>
      <c r="C45" s="225"/>
      <c r="D45" s="226"/>
      <c r="E45" s="222"/>
      <c r="F45" s="222"/>
      <c r="G45" s="222"/>
      <c r="H45" s="230"/>
      <c r="I45" s="230"/>
    </row>
    <row r="46" spans="1:12" ht="15.75" thickBot="1" x14ac:dyDescent="0.3">
      <c r="A46" s="37"/>
      <c r="B46" s="7"/>
      <c r="C46" s="223" t="str">
        <f>general!$T$61</f>
        <v>Bereinigt:</v>
      </c>
      <c r="D46" s="224"/>
      <c r="E46" s="222"/>
      <c r="F46" s="222"/>
      <c r="G46" s="222"/>
      <c r="H46" s="230"/>
      <c r="I46" s="230"/>
    </row>
    <row r="47" spans="1:12" ht="15.75" thickBot="1" x14ac:dyDescent="0.3">
      <c r="A47" s="37"/>
      <c r="B47" s="7"/>
      <c r="C47" s="225"/>
      <c r="D47" s="226"/>
      <c r="E47" s="222"/>
      <c r="F47" s="222"/>
      <c r="G47" s="222"/>
      <c r="H47" s="230"/>
      <c r="I47" s="230"/>
    </row>
    <row r="48" spans="1:12" ht="15.75" thickBot="1" x14ac:dyDescent="0.3">
      <c r="A48" s="37"/>
      <c r="B48" s="7"/>
      <c r="C48" s="223" t="str">
        <f>general!$Z$61</f>
        <v>Datum:</v>
      </c>
      <c r="D48" s="224"/>
      <c r="E48" s="227"/>
      <c r="F48" s="227"/>
      <c r="G48" s="227"/>
      <c r="H48" s="230"/>
      <c r="I48" s="230"/>
    </row>
    <row r="49" spans="1:9" ht="15.75" thickBot="1" x14ac:dyDescent="0.3">
      <c r="A49" s="137"/>
      <c r="B49" s="1"/>
      <c r="C49" s="225"/>
      <c r="D49" s="226"/>
      <c r="E49" s="227"/>
      <c r="F49" s="227"/>
      <c r="G49" s="227"/>
      <c r="H49" s="230"/>
      <c r="I49" s="230"/>
    </row>
  </sheetData>
  <sheetProtection password="996F" sheet="1" objects="1" selectLockedCells="1"/>
  <mergeCells count="13">
    <mergeCell ref="E46:G47"/>
    <mergeCell ref="C48:D49"/>
    <mergeCell ref="E48:G49"/>
    <mergeCell ref="F3:F4"/>
    <mergeCell ref="H9:H12"/>
    <mergeCell ref="H21:H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general!Druckbereich</vt:lpstr>
    </vt:vector>
  </TitlesOfParts>
  <Company>Loading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Fink</dc:creator>
  <cp:lastModifiedBy>Adrian Fink</cp:lastModifiedBy>
  <dcterms:created xsi:type="dcterms:W3CDTF">2019-11-08T12:40:36Z</dcterms:created>
  <dcterms:modified xsi:type="dcterms:W3CDTF">2020-10-29T08:14:24Z</dcterms:modified>
</cp:coreProperties>
</file>